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F75ECDE3-C3D8-4062-BDD1-FE36468FAD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2" i="3" l="1"/>
  <c r="M302" i="3"/>
  <c r="K302" i="3"/>
  <c r="I302" i="3"/>
  <c r="H302" i="3"/>
  <c r="G302" i="3"/>
  <c r="F302" i="3"/>
  <c r="E302" i="3"/>
  <c r="D302" i="3"/>
  <c r="C302" i="3"/>
  <c r="B302" i="3"/>
  <c r="A302" i="3"/>
  <c r="O301" i="3"/>
  <c r="M301" i="3"/>
  <c r="K301" i="3"/>
  <c r="H301" i="3"/>
  <c r="F301" i="3"/>
  <c r="E301" i="3"/>
  <c r="D301" i="3"/>
  <c r="C301" i="3"/>
  <c r="B301" i="3"/>
  <c r="A301" i="3"/>
  <c r="M300" i="3"/>
  <c r="K300" i="3"/>
  <c r="H300" i="3"/>
  <c r="G300" i="3"/>
  <c r="F300" i="3"/>
  <c r="E300" i="3"/>
  <c r="D300" i="3"/>
  <c r="C300" i="3"/>
  <c r="B300" i="3"/>
  <c r="A300" i="3"/>
  <c r="O299" i="3"/>
  <c r="M299" i="3"/>
  <c r="K299" i="3"/>
  <c r="J299" i="3"/>
  <c r="I299" i="3"/>
  <c r="H299" i="3"/>
  <c r="G299" i="3"/>
  <c r="F299" i="3"/>
  <c r="E299" i="3"/>
  <c r="D299" i="3"/>
  <c r="C299" i="3"/>
  <c r="B299" i="3"/>
  <c r="A299" i="3"/>
  <c r="O298" i="3"/>
  <c r="M298" i="3"/>
  <c r="K298" i="3"/>
  <c r="I298" i="3"/>
  <c r="H298" i="3"/>
  <c r="F298" i="3"/>
  <c r="E298" i="3"/>
  <c r="D298" i="3"/>
  <c r="C298" i="3"/>
  <c r="B298" i="3"/>
  <c r="A298" i="3"/>
  <c r="O297" i="3"/>
  <c r="M297" i="3"/>
  <c r="K297" i="3"/>
  <c r="J297" i="3"/>
  <c r="H297" i="3"/>
  <c r="F297" i="3"/>
  <c r="E297" i="3"/>
  <c r="D297" i="3"/>
  <c r="C297" i="3"/>
  <c r="B297" i="3"/>
  <c r="A297" i="3"/>
  <c r="O296" i="3"/>
  <c r="M296" i="3"/>
  <c r="K296" i="3"/>
  <c r="H296" i="3"/>
  <c r="F296" i="3"/>
  <c r="E296" i="3"/>
  <c r="D296" i="3"/>
  <c r="C296" i="3"/>
  <c r="B296" i="3"/>
  <c r="A296" i="3"/>
  <c r="O295" i="3"/>
  <c r="M295" i="3"/>
  <c r="K295" i="3"/>
  <c r="I295" i="3"/>
  <c r="H295" i="3"/>
  <c r="F295" i="3"/>
  <c r="E295" i="3"/>
  <c r="D295" i="3"/>
  <c r="C295" i="3"/>
  <c r="B295" i="3"/>
  <c r="A295" i="3"/>
  <c r="O294" i="3"/>
  <c r="M294" i="3"/>
  <c r="K294" i="3"/>
  <c r="F294" i="3"/>
  <c r="E294" i="3"/>
  <c r="D294" i="3"/>
  <c r="C294" i="3"/>
  <c r="B294" i="3"/>
  <c r="A294" i="3"/>
  <c r="O293" i="3"/>
  <c r="M293" i="3"/>
  <c r="K293" i="3"/>
  <c r="J293" i="3"/>
  <c r="I293" i="3"/>
  <c r="H293" i="3"/>
  <c r="G293" i="3"/>
  <c r="F293" i="3"/>
  <c r="E293" i="3"/>
  <c r="D293" i="3"/>
  <c r="C293" i="3"/>
  <c r="B293" i="3"/>
  <c r="A293" i="3"/>
  <c r="O292" i="3"/>
  <c r="M292" i="3"/>
  <c r="K292" i="3"/>
  <c r="I292" i="3"/>
  <c r="H292" i="3"/>
  <c r="G292" i="3"/>
  <c r="F292" i="3"/>
  <c r="E292" i="3"/>
  <c r="D292" i="3"/>
  <c r="C292" i="3"/>
  <c r="B292" i="3"/>
  <c r="A292" i="3"/>
  <c r="O291" i="3"/>
  <c r="M291" i="3"/>
  <c r="K291" i="3"/>
  <c r="F291" i="3"/>
  <c r="E291" i="3"/>
  <c r="D291" i="3"/>
  <c r="C291" i="3"/>
  <c r="B291" i="3"/>
  <c r="A291" i="3"/>
  <c r="O290" i="3"/>
  <c r="M290" i="3"/>
  <c r="K290" i="3"/>
  <c r="F290" i="3"/>
  <c r="E290" i="3"/>
  <c r="D290" i="3"/>
  <c r="C290" i="3"/>
  <c r="B290" i="3"/>
  <c r="A290" i="3"/>
  <c r="O289" i="3"/>
  <c r="M289" i="3"/>
  <c r="K289" i="3"/>
  <c r="J289" i="3"/>
  <c r="I289" i="3"/>
  <c r="H289" i="3"/>
  <c r="G289" i="3"/>
  <c r="F289" i="3"/>
  <c r="E289" i="3"/>
  <c r="D289" i="3"/>
  <c r="C289" i="3"/>
  <c r="B289" i="3"/>
  <c r="A289" i="3"/>
  <c r="O288" i="3"/>
  <c r="M288" i="3"/>
  <c r="K288" i="3"/>
  <c r="H288" i="3"/>
  <c r="F288" i="3"/>
  <c r="E288" i="3"/>
  <c r="D288" i="3"/>
  <c r="C288" i="3"/>
  <c r="B288" i="3"/>
  <c r="A288" i="3"/>
  <c r="O287" i="3"/>
  <c r="M287" i="3"/>
  <c r="K287" i="3"/>
  <c r="F287" i="3"/>
  <c r="E287" i="3"/>
  <c r="D287" i="3"/>
  <c r="C287" i="3"/>
  <c r="B287" i="3"/>
  <c r="A287" i="3"/>
  <c r="O286" i="3"/>
  <c r="M286" i="3"/>
  <c r="K286" i="3"/>
  <c r="F286" i="3"/>
  <c r="E286" i="3"/>
  <c r="D286" i="3"/>
  <c r="C286" i="3"/>
  <c r="B286" i="3"/>
  <c r="A286" i="3"/>
  <c r="O285" i="3"/>
  <c r="M285" i="3"/>
  <c r="K285" i="3"/>
  <c r="F285" i="3"/>
  <c r="E285" i="3"/>
  <c r="D285" i="3"/>
  <c r="C285" i="3"/>
  <c r="B285" i="3"/>
  <c r="A285" i="3"/>
  <c r="O284" i="3"/>
  <c r="N284" i="3"/>
  <c r="M284" i="3"/>
  <c r="K284" i="3"/>
  <c r="H284" i="3"/>
  <c r="G284" i="3"/>
  <c r="F284" i="3"/>
  <c r="E284" i="3"/>
  <c r="D284" i="3"/>
  <c r="C284" i="3"/>
  <c r="B284" i="3"/>
  <c r="A284" i="3"/>
  <c r="O283" i="3"/>
  <c r="M283" i="3"/>
  <c r="K283" i="3"/>
  <c r="J283" i="3"/>
  <c r="F283" i="3"/>
  <c r="E283" i="3"/>
  <c r="D283" i="3"/>
  <c r="C283" i="3"/>
  <c r="B283" i="3"/>
  <c r="A283" i="3"/>
  <c r="O282" i="3"/>
  <c r="M282" i="3"/>
  <c r="K282" i="3"/>
  <c r="J282" i="3"/>
  <c r="I282" i="3"/>
  <c r="H282" i="3"/>
  <c r="G282" i="3"/>
  <c r="F282" i="3"/>
  <c r="E282" i="3"/>
  <c r="D282" i="3"/>
  <c r="C282" i="3"/>
  <c r="B282" i="3"/>
  <c r="A282" i="3"/>
  <c r="O281" i="3"/>
  <c r="M281" i="3"/>
  <c r="K281" i="3"/>
  <c r="F281" i="3"/>
  <c r="E281" i="3"/>
  <c r="D281" i="3"/>
  <c r="C281" i="3"/>
  <c r="B281" i="3"/>
  <c r="A281" i="3"/>
  <c r="O280" i="3"/>
  <c r="M280" i="3"/>
  <c r="K280" i="3"/>
  <c r="H280" i="3"/>
  <c r="F280" i="3"/>
  <c r="E280" i="3"/>
  <c r="D280" i="3"/>
  <c r="C280" i="3"/>
  <c r="B280" i="3"/>
  <c r="A280" i="3"/>
  <c r="O279" i="3"/>
  <c r="M279" i="3"/>
  <c r="K279" i="3"/>
  <c r="H279" i="3"/>
  <c r="F279" i="3"/>
  <c r="E279" i="3"/>
  <c r="D279" i="3"/>
  <c r="C279" i="3"/>
  <c r="B279" i="3"/>
  <c r="A279" i="3"/>
  <c r="O278" i="3"/>
  <c r="M278" i="3"/>
  <c r="K278" i="3"/>
  <c r="I278" i="3"/>
  <c r="H278" i="3"/>
  <c r="F278" i="3"/>
  <c r="E278" i="3"/>
  <c r="D278" i="3"/>
  <c r="C278" i="3"/>
  <c r="B278" i="3"/>
  <c r="A278" i="3"/>
  <c r="O277" i="3"/>
  <c r="M277" i="3"/>
  <c r="K277" i="3"/>
  <c r="G277" i="3"/>
  <c r="F277" i="3"/>
  <c r="E277" i="3"/>
  <c r="D277" i="3"/>
  <c r="C277" i="3"/>
  <c r="B277" i="3"/>
  <c r="A277" i="3"/>
  <c r="O276" i="3"/>
  <c r="M276" i="3"/>
  <c r="K276" i="3"/>
  <c r="I276" i="3"/>
  <c r="H276" i="3"/>
  <c r="F276" i="3"/>
  <c r="E276" i="3"/>
  <c r="D276" i="3"/>
  <c r="C276" i="3"/>
  <c r="B276" i="3"/>
  <c r="A276" i="3"/>
  <c r="O275" i="3"/>
  <c r="M275" i="3"/>
  <c r="K275" i="3"/>
  <c r="F275" i="3"/>
  <c r="E275" i="3"/>
  <c r="D275" i="3"/>
  <c r="C275" i="3"/>
  <c r="B275" i="3"/>
  <c r="A275" i="3"/>
  <c r="O274" i="3"/>
  <c r="M274" i="3"/>
  <c r="K274" i="3"/>
  <c r="J274" i="3"/>
  <c r="I274" i="3"/>
  <c r="H274" i="3"/>
  <c r="G274" i="3"/>
  <c r="F274" i="3"/>
  <c r="E274" i="3"/>
  <c r="D274" i="3"/>
  <c r="C274" i="3"/>
  <c r="B274" i="3"/>
  <c r="A274" i="3"/>
  <c r="O273" i="3"/>
  <c r="M273" i="3"/>
  <c r="K273" i="3"/>
  <c r="F273" i="3"/>
  <c r="E273" i="3"/>
  <c r="D273" i="3"/>
  <c r="C273" i="3"/>
  <c r="B273" i="3"/>
  <c r="A273" i="3"/>
  <c r="O272" i="3"/>
  <c r="M272" i="3"/>
  <c r="K272" i="3"/>
  <c r="H272" i="3"/>
  <c r="F272" i="3"/>
  <c r="E272" i="3"/>
  <c r="D272" i="3"/>
  <c r="C272" i="3"/>
  <c r="B272" i="3"/>
  <c r="A272" i="3"/>
  <c r="O271" i="3"/>
  <c r="M271" i="3"/>
  <c r="K271" i="3"/>
  <c r="H271" i="3"/>
  <c r="F271" i="3"/>
  <c r="E271" i="3"/>
  <c r="D271" i="3"/>
  <c r="C271" i="3"/>
  <c r="B271" i="3"/>
  <c r="A271" i="3"/>
  <c r="O270" i="3"/>
  <c r="M270" i="3"/>
  <c r="K270" i="3"/>
  <c r="J270" i="3"/>
  <c r="I270" i="3"/>
  <c r="H270" i="3"/>
  <c r="F270" i="3"/>
  <c r="E270" i="3"/>
  <c r="D270" i="3"/>
  <c r="C270" i="3"/>
  <c r="B270" i="3"/>
  <c r="A270" i="3"/>
  <c r="O269" i="3"/>
  <c r="M269" i="3"/>
  <c r="K269" i="3"/>
  <c r="I269" i="3"/>
  <c r="H269" i="3"/>
  <c r="F269" i="3"/>
  <c r="E269" i="3"/>
  <c r="D269" i="3"/>
  <c r="C269" i="3"/>
  <c r="B269" i="3"/>
  <c r="A269" i="3"/>
  <c r="O268" i="3"/>
  <c r="M268" i="3"/>
  <c r="K268" i="3"/>
  <c r="H268" i="3"/>
  <c r="F268" i="3"/>
  <c r="E268" i="3"/>
  <c r="D268" i="3"/>
  <c r="C268" i="3"/>
  <c r="B268" i="3"/>
  <c r="A268" i="3"/>
  <c r="O267" i="3"/>
  <c r="M267" i="3"/>
  <c r="K267" i="3"/>
  <c r="G267" i="3"/>
  <c r="F267" i="3"/>
  <c r="E267" i="3"/>
  <c r="D267" i="3"/>
  <c r="C267" i="3"/>
  <c r="B267" i="3"/>
  <c r="A267" i="3"/>
  <c r="O266" i="3"/>
  <c r="M266" i="3"/>
  <c r="K266" i="3"/>
  <c r="I266" i="3"/>
  <c r="H266" i="3"/>
  <c r="F266" i="3"/>
  <c r="E266" i="3"/>
  <c r="D266" i="3"/>
  <c r="C266" i="3"/>
  <c r="B266" i="3"/>
  <c r="A266" i="3"/>
  <c r="O265" i="3"/>
  <c r="M265" i="3"/>
  <c r="K265" i="3"/>
  <c r="J265" i="3"/>
  <c r="I265" i="3"/>
  <c r="H265" i="3"/>
  <c r="G265" i="3"/>
  <c r="F265" i="3"/>
  <c r="E265" i="3"/>
  <c r="D265" i="3"/>
  <c r="C265" i="3"/>
  <c r="B265" i="3"/>
  <c r="A265" i="3"/>
  <c r="O264" i="3"/>
  <c r="M264" i="3"/>
  <c r="K264" i="3"/>
  <c r="J264" i="3"/>
  <c r="I264" i="3"/>
  <c r="H264" i="3"/>
  <c r="G264" i="3"/>
  <c r="F264" i="3"/>
  <c r="E264" i="3"/>
  <c r="D264" i="3"/>
  <c r="C264" i="3"/>
  <c r="B264" i="3"/>
  <c r="A264" i="3"/>
  <c r="O263" i="3"/>
  <c r="M263" i="3"/>
  <c r="K263" i="3"/>
  <c r="H263" i="3"/>
  <c r="G263" i="3"/>
  <c r="F263" i="3"/>
  <c r="E263" i="3"/>
  <c r="D263" i="3"/>
  <c r="C263" i="3"/>
  <c r="B263" i="3"/>
  <c r="A263" i="3"/>
  <c r="O262" i="3"/>
  <c r="M262" i="3"/>
  <c r="K262" i="3"/>
  <c r="F262" i="3"/>
  <c r="E262" i="3"/>
  <c r="D262" i="3"/>
  <c r="C262" i="3"/>
  <c r="B262" i="3"/>
  <c r="A262" i="3"/>
  <c r="O261" i="3"/>
  <c r="M261" i="3"/>
  <c r="K261" i="3"/>
  <c r="F261" i="3"/>
  <c r="E261" i="3"/>
  <c r="D261" i="3"/>
  <c r="C261" i="3"/>
  <c r="B261" i="3"/>
  <c r="A261" i="3"/>
  <c r="O260" i="3"/>
  <c r="M260" i="3"/>
  <c r="K260" i="3"/>
  <c r="H260" i="3"/>
  <c r="G260" i="3"/>
  <c r="F260" i="3"/>
  <c r="E260" i="3"/>
  <c r="D260" i="3"/>
  <c r="C260" i="3"/>
  <c r="B260" i="3"/>
  <c r="A260" i="3"/>
  <c r="O259" i="3"/>
  <c r="M259" i="3"/>
  <c r="K259" i="3"/>
  <c r="F259" i="3"/>
  <c r="E259" i="3"/>
  <c r="D259" i="3"/>
  <c r="C259" i="3"/>
  <c r="B259" i="3"/>
  <c r="A259" i="3"/>
  <c r="O258" i="3"/>
  <c r="M258" i="3"/>
  <c r="K258" i="3"/>
  <c r="J258" i="3"/>
  <c r="I258" i="3"/>
  <c r="H258" i="3"/>
  <c r="G258" i="3"/>
  <c r="F258" i="3"/>
  <c r="E258" i="3"/>
  <c r="D258" i="3"/>
  <c r="C258" i="3"/>
  <c r="B258" i="3"/>
  <c r="A258" i="3"/>
  <c r="O257" i="3"/>
  <c r="M257" i="3"/>
  <c r="K257" i="3"/>
  <c r="I257" i="3"/>
  <c r="H257" i="3"/>
  <c r="G257" i="3"/>
  <c r="F257" i="3"/>
  <c r="E257" i="3"/>
  <c r="D257" i="3"/>
  <c r="C257" i="3"/>
  <c r="B257" i="3"/>
  <c r="A257" i="3"/>
  <c r="O256" i="3"/>
  <c r="M256" i="3"/>
  <c r="K256" i="3"/>
  <c r="J256" i="3"/>
  <c r="I256" i="3"/>
  <c r="H256" i="3"/>
  <c r="G256" i="3"/>
  <c r="F256" i="3"/>
  <c r="E256" i="3"/>
  <c r="D256" i="3"/>
  <c r="C256" i="3"/>
  <c r="B256" i="3"/>
  <c r="A256" i="3"/>
  <c r="O255" i="3"/>
  <c r="M255" i="3"/>
  <c r="K255" i="3"/>
  <c r="I255" i="3"/>
  <c r="H255" i="3"/>
  <c r="G255" i="3"/>
  <c r="F255" i="3"/>
  <c r="E255" i="3"/>
  <c r="D255" i="3"/>
  <c r="C255" i="3"/>
  <c r="B255" i="3"/>
  <c r="A255" i="3"/>
  <c r="O254" i="3"/>
  <c r="M254" i="3"/>
  <c r="K254" i="3"/>
  <c r="F254" i="3"/>
  <c r="E254" i="3"/>
  <c r="D254" i="3"/>
  <c r="C254" i="3"/>
  <c r="B254" i="3"/>
  <c r="A254" i="3"/>
  <c r="O253" i="3"/>
  <c r="M253" i="3"/>
  <c r="K253" i="3"/>
  <c r="F253" i="3"/>
  <c r="E253" i="3"/>
  <c r="D253" i="3"/>
  <c r="C253" i="3"/>
  <c r="B253" i="3"/>
  <c r="A253" i="3"/>
  <c r="O252" i="3"/>
  <c r="M252" i="3"/>
  <c r="K252" i="3"/>
  <c r="F252" i="3"/>
  <c r="E252" i="3"/>
  <c r="D252" i="3"/>
  <c r="C252" i="3"/>
  <c r="B252" i="3"/>
  <c r="A252" i="3"/>
  <c r="O251" i="3"/>
  <c r="M251" i="3"/>
  <c r="K251" i="3"/>
  <c r="F251" i="3"/>
  <c r="E251" i="3"/>
  <c r="D251" i="3"/>
  <c r="C251" i="3"/>
  <c r="B251" i="3"/>
  <c r="A251" i="3"/>
  <c r="O250" i="3"/>
  <c r="N250" i="3"/>
  <c r="M250" i="3"/>
  <c r="K250" i="3"/>
  <c r="F250" i="3"/>
  <c r="E250" i="3"/>
  <c r="D250" i="3"/>
  <c r="C250" i="3"/>
  <c r="B250" i="3"/>
  <c r="A250" i="3"/>
  <c r="O249" i="3"/>
  <c r="M249" i="3"/>
  <c r="K249" i="3"/>
  <c r="F249" i="3"/>
  <c r="E249" i="3"/>
  <c r="D249" i="3"/>
  <c r="C249" i="3"/>
  <c r="B249" i="3"/>
  <c r="A249" i="3"/>
  <c r="O248" i="3"/>
  <c r="M248" i="3"/>
  <c r="K248" i="3"/>
  <c r="J248" i="3"/>
  <c r="H248" i="3"/>
  <c r="G248" i="3"/>
  <c r="F248" i="3"/>
  <c r="E248" i="3"/>
  <c r="D248" i="3"/>
  <c r="C248" i="3"/>
  <c r="B248" i="3"/>
  <c r="A248" i="3"/>
  <c r="O247" i="3"/>
  <c r="M247" i="3"/>
  <c r="K247" i="3"/>
  <c r="F247" i="3"/>
  <c r="E247" i="3"/>
  <c r="D247" i="3"/>
  <c r="C247" i="3"/>
  <c r="B247" i="3"/>
  <c r="A247" i="3"/>
  <c r="O246" i="3"/>
  <c r="M246" i="3"/>
  <c r="K246" i="3"/>
  <c r="H246" i="3"/>
  <c r="F246" i="3"/>
  <c r="E246" i="3"/>
  <c r="D246" i="3"/>
  <c r="C246" i="3"/>
  <c r="B246" i="3"/>
  <c r="A246" i="3"/>
  <c r="O245" i="3"/>
  <c r="M245" i="3"/>
  <c r="K245" i="3"/>
  <c r="F245" i="3"/>
  <c r="E245" i="3"/>
  <c r="D245" i="3"/>
  <c r="C245" i="3"/>
  <c r="B245" i="3"/>
  <c r="A245" i="3"/>
  <c r="O244" i="3"/>
  <c r="M244" i="3"/>
  <c r="K244" i="3"/>
  <c r="F244" i="3"/>
  <c r="E244" i="3"/>
  <c r="D244" i="3"/>
  <c r="C244" i="3"/>
  <c r="B244" i="3"/>
  <c r="A244" i="3"/>
  <c r="O243" i="3"/>
  <c r="M243" i="3"/>
  <c r="K243" i="3"/>
  <c r="H243" i="3"/>
  <c r="F243" i="3"/>
  <c r="E243" i="3"/>
  <c r="D243" i="3"/>
  <c r="C243" i="3"/>
  <c r="B243" i="3"/>
  <c r="A243" i="3"/>
  <c r="O242" i="3"/>
  <c r="M242" i="3"/>
  <c r="K242" i="3"/>
  <c r="F242" i="3"/>
  <c r="E242" i="3"/>
  <c r="D242" i="3"/>
  <c r="C242" i="3"/>
  <c r="B242" i="3"/>
  <c r="A242" i="3"/>
  <c r="O241" i="3"/>
  <c r="M241" i="3"/>
  <c r="K241" i="3"/>
  <c r="F241" i="3"/>
  <c r="E241" i="3"/>
  <c r="D241" i="3"/>
  <c r="C241" i="3"/>
  <c r="B241" i="3"/>
  <c r="A241" i="3"/>
  <c r="O240" i="3"/>
  <c r="M240" i="3"/>
  <c r="K240" i="3"/>
  <c r="F240" i="3"/>
  <c r="E240" i="3"/>
  <c r="D240" i="3"/>
  <c r="C240" i="3"/>
  <c r="B240" i="3"/>
  <c r="A240" i="3"/>
  <c r="O239" i="3"/>
  <c r="M239" i="3"/>
  <c r="K239" i="3"/>
  <c r="F239" i="3"/>
  <c r="E239" i="3"/>
  <c r="D239" i="3"/>
  <c r="C239" i="3"/>
  <c r="B239" i="3"/>
  <c r="A239" i="3"/>
  <c r="O238" i="3"/>
  <c r="M238" i="3"/>
  <c r="K238" i="3"/>
  <c r="H238" i="3"/>
  <c r="F238" i="3"/>
  <c r="E238" i="3"/>
  <c r="D238" i="3"/>
  <c r="C238" i="3"/>
  <c r="B238" i="3"/>
  <c r="A238" i="3"/>
  <c r="O237" i="3"/>
  <c r="N237" i="3"/>
  <c r="M237" i="3"/>
  <c r="K237" i="3"/>
  <c r="F237" i="3"/>
  <c r="E237" i="3"/>
  <c r="D237" i="3"/>
  <c r="C237" i="3"/>
  <c r="B237" i="3"/>
  <c r="A237" i="3"/>
  <c r="O236" i="3"/>
  <c r="M236" i="3"/>
  <c r="K236" i="3"/>
  <c r="I236" i="3"/>
  <c r="H236" i="3"/>
  <c r="F236" i="3"/>
  <c r="E236" i="3"/>
  <c r="D236" i="3"/>
  <c r="C236" i="3"/>
  <c r="B236" i="3"/>
  <c r="A236" i="3"/>
  <c r="O235" i="3"/>
  <c r="M235" i="3"/>
  <c r="K235" i="3"/>
  <c r="J235" i="3"/>
  <c r="I235" i="3"/>
  <c r="H235" i="3"/>
  <c r="G235" i="3"/>
  <c r="F235" i="3"/>
  <c r="E235" i="3"/>
  <c r="D235" i="3"/>
  <c r="C235" i="3"/>
  <c r="B235" i="3"/>
  <c r="A235" i="3"/>
  <c r="O234" i="3"/>
  <c r="M234" i="3"/>
  <c r="K234" i="3"/>
  <c r="F234" i="3"/>
  <c r="E234" i="3"/>
  <c r="D234" i="3"/>
  <c r="C234" i="3"/>
  <c r="B234" i="3"/>
  <c r="A234" i="3"/>
  <c r="O233" i="3"/>
  <c r="M233" i="3"/>
  <c r="K233" i="3"/>
  <c r="F233" i="3"/>
  <c r="E233" i="3"/>
  <c r="D233" i="3"/>
  <c r="C233" i="3"/>
  <c r="B233" i="3"/>
  <c r="A233" i="3"/>
  <c r="O232" i="3"/>
  <c r="M232" i="3"/>
  <c r="K232" i="3"/>
  <c r="J232" i="3"/>
  <c r="I232" i="3"/>
  <c r="H232" i="3"/>
  <c r="G232" i="3"/>
  <c r="F232" i="3"/>
  <c r="E232" i="3"/>
  <c r="D232" i="3"/>
  <c r="C232" i="3"/>
  <c r="B232" i="3"/>
  <c r="A232" i="3"/>
  <c r="O231" i="3"/>
  <c r="M231" i="3"/>
  <c r="K231" i="3"/>
  <c r="H231" i="3"/>
  <c r="F231" i="3"/>
  <c r="E231" i="3"/>
  <c r="D231" i="3"/>
  <c r="C231" i="3"/>
  <c r="B231" i="3"/>
  <c r="A231" i="3"/>
  <c r="O230" i="3"/>
  <c r="M230" i="3"/>
  <c r="K230" i="3"/>
  <c r="J230" i="3"/>
  <c r="I230" i="3"/>
  <c r="G230" i="3"/>
  <c r="F230" i="3"/>
  <c r="E230" i="3"/>
  <c r="D230" i="3"/>
  <c r="C230" i="3"/>
  <c r="B230" i="3"/>
  <c r="A230" i="3"/>
  <c r="O229" i="3"/>
  <c r="M229" i="3"/>
  <c r="K229" i="3"/>
  <c r="J229" i="3"/>
  <c r="I229" i="3"/>
  <c r="H229" i="3"/>
  <c r="G229" i="3"/>
  <c r="F229" i="3"/>
  <c r="E229" i="3"/>
  <c r="D229" i="3"/>
  <c r="C229" i="3"/>
  <c r="B229" i="3"/>
  <c r="A229" i="3"/>
  <c r="O228" i="3"/>
  <c r="N228" i="3"/>
  <c r="M228" i="3"/>
  <c r="K228" i="3"/>
  <c r="H228" i="3"/>
  <c r="F228" i="3"/>
  <c r="E228" i="3"/>
  <c r="D228" i="3"/>
  <c r="C228" i="3"/>
  <c r="B228" i="3"/>
  <c r="A228" i="3"/>
  <c r="O227" i="3"/>
  <c r="M227" i="3"/>
  <c r="K227" i="3"/>
  <c r="F227" i="3"/>
  <c r="E227" i="3"/>
  <c r="D227" i="3"/>
  <c r="C227" i="3"/>
  <c r="B227" i="3"/>
  <c r="A227" i="3"/>
  <c r="O226" i="3"/>
  <c r="M226" i="3"/>
  <c r="K226" i="3"/>
  <c r="F226" i="3"/>
  <c r="E226" i="3"/>
  <c r="D226" i="3"/>
  <c r="C226" i="3"/>
  <c r="B226" i="3"/>
  <c r="A226" i="3"/>
  <c r="O225" i="3"/>
  <c r="M225" i="3"/>
  <c r="K225" i="3"/>
  <c r="H225" i="3"/>
  <c r="G225" i="3"/>
  <c r="F225" i="3"/>
  <c r="E225" i="3"/>
  <c r="D225" i="3"/>
  <c r="C225" i="3"/>
  <c r="B225" i="3"/>
  <c r="A225" i="3"/>
  <c r="O224" i="3"/>
  <c r="M224" i="3"/>
  <c r="K224" i="3"/>
  <c r="J224" i="3"/>
  <c r="I224" i="3"/>
  <c r="H224" i="3"/>
  <c r="G224" i="3"/>
  <c r="F224" i="3"/>
  <c r="E224" i="3"/>
  <c r="D224" i="3"/>
  <c r="C224" i="3"/>
  <c r="B224" i="3"/>
  <c r="A224" i="3"/>
  <c r="O223" i="3"/>
  <c r="M223" i="3"/>
  <c r="K223" i="3"/>
  <c r="H223" i="3"/>
  <c r="F223" i="3"/>
  <c r="E223" i="3"/>
  <c r="D223" i="3"/>
  <c r="C223" i="3"/>
  <c r="B223" i="3"/>
  <c r="A223" i="3"/>
  <c r="O222" i="3"/>
  <c r="M222" i="3"/>
  <c r="K222" i="3"/>
  <c r="I222" i="3"/>
  <c r="H222" i="3"/>
  <c r="F222" i="3"/>
  <c r="E222" i="3"/>
  <c r="D222" i="3"/>
  <c r="C222" i="3"/>
  <c r="B222" i="3"/>
  <c r="A222" i="3"/>
  <c r="O221" i="3"/>
  <c r="M221" i="3"/>
  <c r="K221" i="3"/>
  <c r="J221" i="3"/>
  <c r="I221" i="3"/>
  <c r="H221" i="3"/>
  <c r="G221" i="3"/>
  <c r="F221" i="3"/>
  <c r="E221" i="3"/>
  <c r="D221" i="3"/>
  <c r="C221" i="3"/>
  <c r="B221" i="3"/>
  <c r="A221" i="3"/>
  <c r="O220" i="3"/>
  <c r="M220" i="3"/>
  <c r="K220" i="3"/>
  <c r="H220" i="3"/>
  <c r="F220" i="3"/>
  <c r="E220" i="3"/>
  <c r="D220" i="3"/>
  <c r="C220" i="3"/>
  <c r="B220" i="3"/>
  <c r="A220" i="3"/>
  <c r="O219" i="3"/>
  <c r="M219" i="3"/>
  <c r="K219" i="3"/>
  <c r="F219" i="3"/>
  <c r="E219" i="3"/>
  <c r="D219" i="3"/>
  <c r="C219" i="3"/>
  <c r="B219" i="3"/>
  <c r="A219" i="3"/>
  <c r="O218" i="3"/>
  <c r="M218" i="3"/>
  <c r="K218" i="3"/>
  <c r="F218" i="3"/>
  <c r="E218" i="3"/>
  <c r="D218" i="3"/>
  <c r="C218" i="3"/>
  <c r="B218" i="3"/>
  <c r="A218" i="3"/>
  <c r="O217" i="3"/>
  <c r="M217" i="3"/>
  <c r="K217" i="3"/>
  <c r="H217" i="3"/>
  <c r="G217" i="3"/>
  <c r="F217" i="3"/>
  <c r="E217" i="3"/>
  <c r="D217" i="3"/>
  <c r="C217" i="3"/>
  <c r="B217" i="3"/>
  <c r="A217" i="3"/>
  <c r="O216" i="3"/>
  <c r="M216" i="3"/>
  <c r="K216" i="3"/>
  <c r="I216" i="3"/>
  <c r="H216" i="3"/>
  <c r="F216" i="3"/>
  <c r="E216" i="3"/>
  <c r="D216" i="3"/>
  <c r="C216" i="3"/>
  <c r="B216" i="3"/>
  <c r="A216" i="3"/>
  <c r="O215" i="3"/>
  <c r="M215" i="3"/>
  <c r="K215" i="3"/>
  <c r="H215" i="3"/>
  <c r="G215" i="3"/>
  <c r="F215" i="3"/>
  <c r="E215" i="3"/>
  <c r="D215" i="3"/>
  <c r="C215" i="3"/>
  <c r="B215" i="3"/>
  <c r="A215" i="3"/>
  <c r="O214" i="3"/>
  <c r="M214" i="3"/>
  <c r="K214" i="3"/>
  <c r="F214" i="3"/>
  <c r="E214" i="3"/>
  <c r="D214" i="3"/>
  <c r="C214" i="3"/>
  <c r="B214" i="3"/>
  <c r="A214" i="3"/>
  <c r="O213" i="3"/>
  <c r="M213" i="3"/>
  <c r="K213" i="3"/>
  <c r="H213" i="3"/>
  <c r="G213" i="3"/>
  <c r="F213" i="3"/>
  <c r="E213" i="3"/>
  <c r="D213" i="3"/>
  <c r="C213" i="3"/>
  <c r="B213" i="3"/>
  <c r="A213" i="3"/>
  <c r="O212" i="3"/>
  <c r="M212" i="3"/>
  <c r="K212" i="3"/>
  <c r="H212" i="3"/>
  <c r="F212" i="3"/>
  <c r="E212" i="3"/>
  <c r="D212" i="3"/>
  <c r="C212" i="3"/>
  <c r="B212" i="3"/>
  <c r="A212" i="3"/>
  <c r="O211" i="3"/>
  <c r="M211" i="3"/>
  <c r="K211" i="3"/>
  <c r="F211" i="3"/>
  <c r="E211" i="3"/>
  <c r="D211" i="3"/>
  <c r="C211" i="3"/>
  <c r="B211" i="3"/>
  <c r="A211" i="3"/>
  <c r="O210" i="3"/>
  <c r="M210" i="3"/>
  <c r="K210" i="3"/>
  <c r="F210" i="3"/>
  <c r="E210" i="3"/>
  <c r="D210" i="3"/>
  <c r="C210" i="3"/>
  <c r="B210" i="3"/>
  <c r="A210" i="3"/>
  <c r="O209" i="3"/>
  <c r="M209" i="3"/>
  <c r="K209" i="3"/>
  <c r="H209" i="3"/>
  <c r="F209" i="3"/>
  <c r="E209" i="3"/>
  <c r="D209" i="3"/>
  <c r="C209" i="3"/>
  <c r="B209" i="3"/>
  <c r="A209" i="3"/>
  <c r="O208" i="3"/>
  <c r="M208" i="3"/>
  <c r="K208" i="3"/>
  <c r="F208" i="3"/>
  <c r="E208" i="3"/>
  <c r="D208" i="3"/>
  <c r="C208" i="3"/>
  <c r="B208" i="3"/>
  <c r="A208" i="3"/>
  <c r="O207" i="3"/>
  <c r="M207" i="3"/>
  <c r="K207" i="3"/>
  <c r="F207" i="3"/>
  <c r="E207" i="3"/>
  <c r="D207" i="3"/>
  <c r="C207" i="3"/>
  <c r="B207" i="3"/>
  <c r="A207" i="3"/>
  <c r="O206" i="3"/>
  <c r="M206" i="3"/>
  <c r="K206" i="3"/>
  <c r="H206" i="3"/>
  <c r="F206" i="3"/>
  <c r="E206" i="3"/>
  <c r="D206" i="3"/>
  <c r="C206" i="3"/>
  <c r="B206" i="3"/>
  <c r="A206" i="3"/>
  <c r="O205" i="3"/>
  <c r="M205" i="3"/>
  <c r="K205" i="3"/>
  <c r="F205" i="3"/>
  <c r="E205" i="3"/>
  <c r="D205" i="3"/>
  <c r="C205" i="3"/>
  <c r="B205" i="3"/>
  <c r="A205" i="3"/>
  <c r="O204" i="3"/>
  <c r="M204" i="3"/>
  <c r="K204" i="3"/>
  <c r="F204" i="3"/>
  <c r="E204" i="3"/>
  <c r="D204" i="3"/>
  <c r="C204" i="3"/>
  <c r="B204" i="3"/>
  <c r="A204" i="3"/>
  <c r="O203" i="3"/>
  <c r="M203" i="3"/>
  <c r="K203" i="3"/>
  <c r="F203" i="3"/>
  <c r="E203" i="3"/>
  <c r="D203" i="3"/>
  <c r="C203" i="3"/>
  <c r="B203" i="3"/>
  <c r="A203" i="3"/>
  <c r="O202" i="3"/>
  <c r="M202" i="3"/>
  <c r="K202" i="3"/>
  <c r="G202" i="3"/>
  <c r="F202" i="3"/>
  <c r="E202" i="3"/>
  <c r="D202" i="3"/>
  <c r="C202" i="3"/>
  <c r="B202" i="3"/>
  <c r="A202" i="3"/>
  <c r="O201" i="3"/>
  <c r="M201" i="3"/>
  <c r="K201" i="3"/>
  <c r="G201" i="3"/>
  <c r="F201" i="3"/>
  <c r="E201" i="3"/>
  <c r="D201" i="3"/>
  <c r="C201" i="3"/>
  <c r="B201" i="3"/>
  <c r="A201" i="3"/>
  <c r="O200" i="3"/>
  <c r="M200" i="3"/>
  <c r="K200" i="3"/>
  <c r="J200" i="3"/>
  <c r="F200" i="3"/>
  <c r="E200" i="3"/>
  <c r="D200" i="3"/>
  <c r="C200" i="3"/>
  <c r="B200" i="3"/>
  <c r="A200" i="3"/>
  <c r="O199" i="3"/>
  <c r="M199" i="3"/>
  <c r="K199" i="3"/>
  <c r="I199" i="3"/>
  <c r="F199" i="3"/>
  <c r="E199" i="3"/>
  <c r="D199" i="3"/>
  <c r="C199" i="3"/>
  <c r="B199" i="3"/>
  <c r="A199" i="3"/>
  <c r="O198" i="3"/>
  <c r="M198" i="3"/>
  <c r="K198" i="3"/>
  <c r="I198" i="3"/>
  <c r="H198" i="3"/>
  <c r="G198" i="3"/>
  <c r="F198" i="3"/>
  <c r="E198" i="3"/>
  <c r="D198" i="3"/>
  <c r="C198" i="3"/>
  <c r="B198" i="3"/>
  <c r="A198" i="3"/>
  <c r="O197" i="3"/>
  <c r="M197" i="3"/>
  <c r="K197" i="3"/>
  <c r="H197" i="3"/>
  <c r="G197" i="3"/>
  <c r="F197" i="3"/>
  <c r="E197" i="3"/>
  <c r="D197" i="3"/>
  <c r="C197" i="3"/>
  <c r="B197" i="3"/>
  <c r="A197" i="3"/>
  <c r="O196" i="3"/>
  <c r="M196" i="3"/>
  <c r="K196" i="3"/>
  <c r="H196" i="3"/>
  <c r="G196" i="3"/>
  <c r="F196" i="3"/>
  <c r="E196" i="3"/>
  <c r="D196" i="3"/>
  <c r="C196" i="3"/>
  <c r="B196" i="3"/>
  <c r="A196" i="3"/>
  <c r="O195" i="3"/>
  <c r="M195" i="3"/>
  <c r="K195" i="3"/>
  <c r="H195" i="3"/>
  <c r="G195" i="3"/>
  <c r="F195" i="3"/>
  <c r="E195" i="3"/>
  <c r="D195" i="3"/>
  <c r="C195" i="3"/>
  <c r="B195" i="3"/>
  <c r="A195" i="3"/>
  <c r="O194" i="3"/>
  <c r="M194" i="3"/>
  <c r="K194" i="3"/>
  <c r="I194" i="3"/>
  <c r="H194" i="3"/>
  <c r="G194" i="3"/>
  <c r="F194" i="3"/>
  <c r="E194" i="3"/>
  <c r="D194" i="3"/>
  <c r="C194" i="3"/>
  <c r="B194" i="3"/>
  <c r="A194" i="3"/>
  <c r="O193" i="3"/>
  <c r="M193" i="3"/>
  <c r="K193" i="3"/>
  <c r="F193" i="3"/>
  <c r="E193" i="3"/>
  <c r="D193" i="3"/>
  <c r="C193" i="3"/>
  <c r="B193" i="3"/>
  <c r="A193" i="3"/>
  <c r="O192" i="3"/>
  <c r="M192" i="3"/>
  <c r="K192" i="3"/>
  <c r="I192" i="3"/>
  <c r="H192" i="3"/>
  <c r="G192" i="3"/>
  <c r="F192" i="3"/>
  <c r="E192" i="3"/>
  <c r="D192" i="3"/>
  <c r="C192" i="3"/>
  <c r="B192" i="3"/>
  <c r="A192" i="3"/>
  <c r="O191" i="3"/>
  <c r="M191" i="3"/>
  <c r="K191" i="3"/>
  <c r="F191" i="3"/>
  <c r="E191" i="3"/>
  <c r="D191" i="3"/>
  <c r="C191" i="3"/>
  <c r="B191" i="3"/>
  <c r="A191" i="3"/>
  <c r="O190" i="3"/>
  <c r="M190" i="3"/>
  <c r="K190" i="3"/>
  <c r="J190" i="3"/>
  <c r="I190" i="3"/>
  <c r="H190" i="3"/>
  <c r="G190" i="3"/>
  <c r="F190" i="3"/>
  <c r="E190" i="3"/>
  <c r="D190" i="3"/>
  <c r="C190" i="3"/>
  <c r="B190" i="3"/>
  <c r="A190" i="3"/>
  <c r="O189" i="3"/>
  <c r="M189" i="3"/>
  <c r="K189" i="3"/>
  <c r="F189" i="3"/>
  <c r="E189" i="3"/>
  <c r="D189" i="3"/>
  <c r="C189" i="3"/>
  <c r="B189" i="3"/>
  <c r="A189" i="3"/>
  <c r="O188" i="3"/>
  <c r="M188" i="3"/>
  <c r="K188" i="3"/>
  <c r="H188" i="3"/>
  <c r="F188" i="3"/>
  <c r="E188" i="3"/>
  <c r="D188" i="3"/>
  <c r="C188" i="3"/>
  <c r="B188" i="3"/>
  <c r="A188" i="3"/>
  <c r="O187" i="3"/>
  <c r="M187" i="3"/>
  <c r="K187" i="3"/>
  <c r="J187" i="3"/>
  <c r="I187" i="3"/>
  <c r="H187" i="3"/>
  <c r="G187" i="3"/>
  <c r="F187" i="3"/>
  <c r="E187" i="3"/>
  <c r="D187" i="3"/>
  <c r="C187" i="3"/>
  <c r="B187" i="3"/>
  <c r="A187" i="3"/>
  <c r="O186" i="3"/>
  <c r="M186" i="3"/>
  <c r="K186" i="3"/>
  <c r="H186" i="3"/>
  <c r="F186" i="3"/>
  <c r="E186" i="3"/>
  <c r="D186" i="3"/>
  <c r="C186" i="3"/>
  <c r="B186" i="3"/>
  <c r="A186" i="3"/>
  <c r="O185" i="3"/>
  <c r="M185" i="3"/>
  <c r="K185" i="3"/>
  <c r="I185" i="3"/>
  <c r="F185" i="3"/>
  <c r="E185" i="3"/>
  <c r="D185" i="3"/>
  <c r="C185" i="3"/>
  <c r="B185" i="3"/>
  <c r="A185" i="3"/>
  <c r="O184" i="3"/>
  <c r="M184" i="3"/>
  <c r="K184" i="3"/>
  <c r="I184" i="3"/>
  <c r="H184" i="3"/>
  <c r="F184" i="3"/>
  <c r="E184" i="3"/>
  <c r="D184" i="3"/>
  <c r="C184" i="3"/>
  <c r="B184" i="3"/>
  <c r="A184" i="3"/>
  <c r="O183" i="3"/>
  <c r="M183" i="3"/>
  <c r="K183" i="3"/>
  <c r="H183" i="3"/>
  <c r="G183" i="3"/>
  <c r="F183" i="3"/>
  <c r="E183" i="3"/>
  <c r="D183" i="3"/>
  <c r="C183" i="3"/>
  <c r="B183" i="3"/>
  <c r="A183" i="3"/>
  <c r="O182" i="3"/>
  <c r="M182" i="3"/>
  <c r="K182" i="3"/>
  <c r="J182" i="3"/>
  <c r="I182" i="3"/>
  <c r="H182" i="3"/>
  <c r="G182" i="3"/>
  <c r="F182" i="3"/>
  <c r="E182" i="3"/>
  <c r="D182" i="3"/>
  <c r="C182" i="3"/>
  <c r="B182" i="3"/>
  <c r="A182" i="3"/>
  <c r="O181" i="3"/>
  <c r="M181" i="3"/>
  <c r="K181" i="3"/>
  <c r="I181" i="3"/>
  <c r="H181" i="3"/>
  <c r="G181" i="3"/>
  <c r="F181" i="3"/>
  <c r="E181" i="3"/>
  <c r="D181" i="3"/>
  <c r="C181" i="3"/>
  <c r="B181" i="3"/>
  <c r="A181" i="3"/>
  <c r="O180" i="3"/>
  <c r="M180" i="3"/>
  <c r="K180" i="3"/>
  <c r="F180" i="3"/>
  <c r="E180" i="3"/>
  <c r="D180" i="3"/>
  <c r="C180" i="3"/>
  <c r="B180" i="3"/>
  <c r="A180" i="3"/>
  <c r="O179" i="3"/>
  <c r="M179" i="3"/>
  <c r="K179" i="3"/>
  <c r="I179" i="3"/>
  <c r="H179" i="3"/>
  <c r="G179" i="3"/>
  <c r="F179" i="3"/>
  <c r="E179" i="3"/>
  <c r="D179" i="3"/>
  <c r="C179" i="3"/>
  <c r="B179" i="3"/>
  <c r="A179" i="3"/>
  <c r="O178" i="3"/>
  <c r="M178" i="3"/>
  <c r="K178" i="3"/>
  <c r="I178" i="3"/>
  <c r="H178" i="3"/>
  <c r="G178" i="3"/>
  <c r="F178" i="3"/>
  <c r="E178" i="3"/>
  <c r="D178" i="3"/>
  <c r="C178" i="3"/>
  <c r="B178" i="3"/>
  <c r="A178" i="3"/>
  <c r="O177" i="3"/>
  <c r="M177" i="3"/>
  <c r="K177" i="3"/>
  <c r="H177" i="3"/>
  <c r="F177" i="3"/>
  <c r="E177" i="3"/>
  <c r="D177" i="3"/>
  <c r="C177" i="3"/>
  <c r="B177" i="3"/>
  <c r="A177" i="3"/>
  <c r="O176" i="3"/>
  <c r="N176" i="3"/>
  <c r="M176" i="3"/>
  <c r="K176" i="3"/>
  <c r="H176" i="3"/>
  <c r="F176" i="3"/>
  <c r="E176" i="3"/>
  <c r="D176" i="3"/>
  <c r="C176" i="3"/>
  <c r="B176" i="3"/>
  <c r="A176" i="3"/>
  <c r="O175" i="3"/>
  <c r="M175" i="3"/>
  <c r="K175" i="3"/>
  <c r="J175" i="3"/>
  <c r="F175" i="3"/>
  <c r="E175" i="3"/>
  <c r="D175" i="3"/>
  <c r="C175" i="3"/>
  <c r="B175" i="3"/>
  <c r="A175" i="3"/>
  <c r="O174" i="3"/>
  <c r="M174" i="3"/>
  <c r="K174" i="3"/>
  <c r="I174" i="3"/>
  <c r="H174" i="3"/>
  <c r="F174" i="3"/>
  <c r="E174" i="3"/>
  <c r="D174" i="3"/>
  <c r="C174" i="3"/>
  <c r="B174" i="3"/>
  <c r="A174" i="3"/>
  <c r="O173" i="3"/>
  <c r="N173" i="3"/>
  <c r="M173" i="3"/>
  <c r="K173" i="3"/>
  <c r="H173" i="3"/>
  <c r="G173" i="3"/>
  <c r="F173" i="3"/>
  <c r="E173" i="3"/>
  <c r="D173" i="3"/>
  <c r="C173" i="3"/>
  <c r="B173" i="3"/>
  <c r="A173" i="3"/>
  <c r="O172" i="3"/>
  <c r="M172" i="3"/>
  <c r="K172" i="3"/>
  <c r="F172" i="3"/>
  <c r="E172" i="3"/>
  <c r="D172" i="3"/>
  <c r="C172" i="3"/>
  <c r="B172" i="3"/>
  <c r="A172" i="3"/>
  <c r="O171" i="3"/>
  <c r="M171" i="3"/>
  <c r="K171" i="3"/>
  <c r="H171" i="3"/>
  <c r="F171" i="3"/>
  <c r="E171" i="3"/>
  <c r="D171" i="3"/>
  <c r="C171" i="3"/>
  <c r="B171" i="3"/>
  <c r="A171" i="3"/>
  <c r="O170" i="3"/>
  <c r="M170" i="3"/>
  <c r="K170" i="3"/>
  <c r="I170" i="3"/>
  <c r="F170" i="3"/>
  <c r="E170" i="3"/>
  <c r="D170" i="3"/>
  <c r="C170" i="3"/>
  <c r="B170" i="3"/>
  <c r="A170" i="3"/>
  <c r="O169" i="3"/>
  <c r="M169" i="3"/>
  <c r="K169" i="3"/>
  <c r="H169" i="3"/>
  <c r="F169" i="3"/>
  <c r="E169" i="3"/>
  <c r="D169" i="3"/>
  <c r="C169" i="3"/>
  <c r="B169" i="3"/>
  <c r="A169" i="3"/>
  <c r="O168" i="3"/>
  <c r="N168" i="3"/>
  <c r="M168" i="3"/>
  <c r="K168" i="3"/>
  <c r="J168" i="3"/>
  <c r="I168" i="3"/>
  <c r="H168" i="3"/>
  <c r="G168" i="3"/>
  <c r="F168" i="3"/>
  <c r="E168" i="3"/>
  <c r="D168" i="3"/>
  <c r="C168" i="3"/>
  <c r="B168" i="3"/>
  <c r="A168" i="3"/>
  <c r="O167" i="3"/>
  <c r="M167" i="3"/>
  <c r="K167" i="3"/>
  <c r="H167" i="3"/>
  <c r="F167" i="3"/>
  <c r="E167" i="3"/>
  <c r="D167" i="3"/>
  <c r="C167" i="3"/>
  <c r="B167" i="3"/>
  <c r="A167" i="3"/>
  <c r="O166" i="3"/>
  <c r="M166" i="3"/>
  <c r="K166" i="3"/>
  <c r="F166" i="3"/>
  <c r="E166" i="3"/>
  <c r="D166" i="3"/>
  <c r="C166" i="3"/>
  <c r="B166" i="3"/>
  <c r="A166" i="3"/>
  <c r="O165" i="3"/>
  <c r="M165" i="3"/>
  <c r="K165" i="3"/>
  <c r="H165" i="3"/>
  <c r="F165" i="3"/>
  <c r="E165" i="3"/>
  <c r="D165" i="3"/>
  <c r="C165" i="3"/>
  <c r="B165" i="3"/>
  <c r="A165" i="3"/>
  <c r="O164" i="3"/>
  <c r="M164" i="3"/>
  <c r="K164" i="3"/>
  <c r="F164" i="3"/>
  <c r="E164" i="3"/>
  <c r="D164" i="3"/>
  <c r="C164" i="3"/>
  <c r="B164" i="3"/>
  <c r="A164" i="3"/>
  <c r="O163" i="3"/>
  <c r="M163" i="3"/>
  <c r="K163" i="3"/>
  <c r="F163" i="3"/>
  <c r="E163" i="3"/>
  <c r="D163" i="3"/>
  <c r="C163" i="3"/>
  <c r="B163" i="3"/>
  <c r="A163" i="3"/>
  <c r="O162" i="3"/>
  <c r="M162" i="3"/>
  <c r="K162" i="3"/>
  <c r="H162" i="3"/>
  <c r="F162" i="3"/>
  <c r="E162" i="3"/>
  <c r="D162" i="3"/>
  <c r="C162" i="3"/>
  <c r="B162" i="3"/>
  <c r="A162" i="3"/>
  <c r="O161" i="3"/>
  <c r="M161" i="3"/>
  <c r="K161" i="3"/>
  <c r="F161" i="3"/>
  <c r="E161" i="3"/>
  <c r="D161" i="3"/>
  <c r="C161" i="3"/>
  <c r="B161" i="3"/>
  <c r="A161" i="3"/>
  <c r="O160" i="3"/>
  <c r="M160" i="3"/>
  <c r="K160" i="3"/>
  <c r="H160" i="3"/>
  <c r="F160" i="3"/>
  <c r="E160" i="3"/>
  <c r="D160" i="3"/>
  <c r="C160" i="3"/>
  <c r="B160" i="3"/>
  <c r="A160" i="3"/>
  <c r="O159" i="3"/>
  <c r="M159" i="3"/>
  <c r="K159" i="3"/>
  <c r="H159" i="3"/>
  <c r="F159" i="3"/>
  <c r="E159" i="3"/>
  <c r="D159" i="3"/>
  <c r="C159" i="3"/>
  <c r="B159" i="3"/>
  <c r="A159" i="3"/>
  <c r="O158" i="3"/>
  <c r="M158" i="3"/>
  <c r="K158" i="3"/>
  <c r="I158" i="3"/>
  <c r="H158" i="3"/>
  <c r="G158" i="3"/>
  <c r="F158" i="3"/>
  <c r="E158" i="3"/>
  <c r="D158" i="3"/>
  <c r="C158" i="3"/>
  <c r="B158" i="3"/>
  <c r="A158" i="3"/>
  <c r="O157" i="3"/>
  <c r="M157" i="3"/>
  <c r="K157" i="3"/>
  <c r="H157" i="3"/>
  <c r="F157" i="3"/>
  <c r="E157" i="3"/>
  <c r="D157" i="3"/>
  <c r="C157" i="3"/>
  <c r="B157" i="3"/>
  <c r="A157" i="3"/>
  <c r="O156" i="3"/>
  <c r="M156" i="3"/>
  <c r="K156" i="3"/>
  <c r="J156" i="3"/>
  <c r="I156" i="3"/>
  <c r="H156" i="3"/>
  <c r="G156" i="3"/>
  <c r="F156" i="3"/>
  <c r="E156" i="3"/>
  <c r="D156" i="3"/>
  <c r="C156" i="3"/>
  <c r="B156" i="3"/>
  <c r="A156" i="3"/>
  <c r="O155" i="3"/>
  <c r="M155" i="3"/>
  <c r="K155" i="3"/>
  <c r="H155" i="3"/>
  <c r="F155" i="3"/>
  <c r="E155" i="3"/>
  <c r="D155" i="3"/>
  <c r="C155" i="3"/>
  <c r="B155" i="3"/>
  <c r="A155" i="3"/>
  <c r="O154" i="3"/>
  <c r="M154" i="3"/>
  <c r="K154" i="3"/>
  <c r="H154" i="3"/>
  <c r="G154" i="3"/>
  <c r="F154" i="3"/>
  <c r="E154" i="3"/>
  <c r="D154" i="3"/>
  <c r="C154" i="3"/>
  <c r="B154" i="3"/>
  <c r="A154" i="3"/>
  <c r="O153" i="3"/>
  <c r="M153" i="3"/>
  <c r="K153" i="3"/>
  <c r="I153" i="3"/>
  <c r="H153" i="3"/>
  <c r="F153" i="3"/>
  <c r="E153" i="3"/>
  <c r="D153" i="3"/>
  <c r="C153" i="3"/>
  <c r="B153" i="3"/>
  <c r="A153" i="3"/>
  <c r="O152" i="3"/>
  <c r="M152" i="3"/>
  <c r="K152" i="3"/>
  <c r="H152" i="3"/>
  <c r="F152" i="3"/>
  <c r="E152" i="3"/>
  <c r="D152" i="3"/>
  <c r="C152" i="3"/>
  <c r="B152" i="3"/>
  <c r="A152" i="3"/>
  <c r="O151" i="3"/>
  <c r="M151" i="3"/>
  <c r="K151" i="3"/>
  <c r="H151" i="3"/>
  <c r="F151" i="3"/>
  <c r="E151" i="3"/>
  <c r="D151" i="3"/>
  <c r="C151" i="3"/>
  <c r="B151" i="3"/>
  <c r="A151" i="3"/>
  <c r="O150" i="3"/>
  <c r="M150" i="3"/>
  <c r="K150" i="3"/>
  <c r="I150" i="3"/>
  <c r="H150" i="3"/>
  <c r="G150" i="3"/>
  <c r="F150" i="3"/>
  <c r="E150" i="3"/>
  <c r="D150" i="3"/>
  <c r="C150" i="3"/>
  <c r="B150" i="3"/>
  <c r="A150" i="3"/>
  <c r="O149" i="3"/>
  <c r="M149" i="3"/>
  <c r="K149" i="3"/>
  <c r="J149" i="3"/>
  <c r="I149" i="3"/>
  <c r="H149" i="3"/>
  <c r="G149" i="3"/>
  <c r="F149" i="3"/>
  <c r="E149" i="3"/>
  <c r="D149" i="3"/>
  <c r="C149" i="3"/>
  <c r="B149" i="3"/>
  <c r="A149" i="3"/>
  <c r="O148" i="3"/>
  <c r="M148" i="3"/>
  <c r="K148" i="3"/>
  <c r="H148" i="3"/>
  <c r="F148" i="3"/>
  <c r="E148" i="3"/>
  <c r="D148" i="3"/>
  <c r="C148" i="3"/>
  <c r="B148" i="3"/>
  <c r="A148" i="3"/>
  <c r="O147" i="3"/>
  <c r="M147" i="3"/>
  <c r="K147" i="3"/>
  <c r="H147" i="3"/>
  <c r="F147" i="3"/>
  <c r="E147" i="3"/>
  <c r="D147" i="3"/>
  <c r="C147" i="3"/>
  <c r="B147" i="3"/>
  <c r="A147" i="3"/>
  <c r="O146" i="3"/>
  <c r="M146" i="3"/>
  <c r="K146" i="3"/>
  <c r="I146" i="3"/>
  <c r="H146" i="3"/>
  <c r="F146" i="3"/>
  <c r="E146" i="3"/>
  <c r="D146" i="3"/>
  <c r="C146" i="3"/>
  <c r="B146" i="3"/>
  <c r="A146" i="3"/>
  <c r="M145" i="3"/>
  <c r="K145" i="3"/>
  <c r="F145" i="3"/>
  <c r="E145" i="3"/>
  <c r="D145" i="3"/>
  <c r="C145" i="3"/>
  <c r="B145" i="3"/>
  <c r="A145" i="3"/>
  <c r="O144" i="3"/>
  <c r="M144" i="3"/>
  <c r="K144" i="3"/>
  <c r="I144" i="3"/>
  <c r="H144" i="3"/>
  <c r="G144" i="3"/>
  <c r="F144" i="3"/>
  <c r="E144" i="3"/>
  <c r="D144" i="3"/>
  <c r="C144" i="3"/>
  <c r="B144" i="3"/>
  <c r="A144" i="3"/>
  <c r="O143" i="3"/>
  <c r="M143" i="3"/>
  <c r="K143" i="3"/>
  <c r="H143" i="3"/>
  <c r="G143" i="3"/>
  <c r="F143" i="3"/>
  <c r="E143" i="3"/>
  <c r="D143" i="3"/>
  <c r="C143" i="3"/>
  <c r="B143" i="3"/>
  <c r="A143" i="3"/>
  <c r="O142" i="3"/>
  <c r="M142" i="3"/>
  <c r="K142" i="3"/>
  <c r="H142" i="3"/>
  <c r="G142" i="3"/>
  <c r="F142" i="3"/>
  <c r="E142" i="3"/>
  <c r="D142" i="3"/>
  <c r="C142" i="3"/>
  <c r="B142" i="3"/>
  <c r="A142" i="3"/>
  <c r="O141" i="3"/>
  <c r="M141" i="3"/>
  <c r="K141" i="3"/>
  <c r="I141" i="3"/>
  <c r="G141" i="3"/>
  <c r="F141" i="3"/>
  <c r="E141" i="3"/>
  <c r="D141" i="3"/>
  <c r="C141" i="3"/>
  <c r="B141" i="3"/>
  <c r="A141" i="3"/>
  <c r="O140" i="3"/>
  <c r="M140" i="3"/>
  <c r="K140" i="3"/>
  <c r="H140" i="3"/>
  <c r="F140" i="3"/>
  <c r="E140" i="3"/>
  <c r="D140" i="3"/>
  <c r="C140" i="3"/>
  <c r="B140" i="3"/>
  <c r="A140" i="3"/>
  <c r="O139" i="3"/>
  <c r="M139" i="3"/>
  <c r="K139" i="3"/>
  <c r="J139" i="3"/>
  <c r="I139" i="3"/>
  <c r="H139" i="3"/>
  <c r="G139" i="3"/>
  <c r="F139" i="3"/>
  <c r="E139" i="3"/>
  <c r="D139" i="3"/>
  <c r="C139" i="3"/>
  <c r="B139" i="3"/>
  <c r="A139" i="3"/>
  <c r="O138" i="3"/>
  <c r="M138" i="3"/>
  <c r="K138" i="3"/>
  <c r="I138" i="3"/>
  <c r="H138" i="3"/>
  <c r="F138" i="3"/>
  <c r="E138" i="3"/>
  <c r="D138" i="3"/>
  <c r="C138" i="3"/>
  <c r="B138" i="3"/>
  <c r="A138" i="3"/>
  <c r="O137" i="3"/>
  <c r="M137" i="3"/>
  <c r="K137" i="3"/>
  <c r="F137" i="3"/>
  <c r="E137" i="3"/>
  <c r="D137" i="3"/>
  <c r="C137" i="3"/>
  <c r="B137" i="3"/>
  <c r="A137" i="3"/>
  <c r="O136" i="3"/>
  <c r="M136" i="3"/>
  <c r="K136" i="3"/>
  <c r="J136" i="3"/>
  <c r="I136" i="3"/>
  <c r="H136" i="3"/>
  <c r="G136" i="3"/>
  <c r="F136" i="3"/>
  <c r="E136" i="3"/>
  <c r="D136" i="3"/>
  <c r="C136" i="3"/>
  <c r="B136" i="3"/>
  <c r="A136" i="3"/>
  <c r="O135" i="3"/>
  <c r="M135" i="3"/>
  <c r="K135" i="3"/>
  <c r="H135" i="3"/>
  <c r="F135" i="3"/>
  <c r="E135" i="3"/>
  <c r="D135" i="3"/>
  <c r="C135" i="3"/>
  <c r="B135" i="3"/>
  <c r="A135" i="3"/>
  <c r="O134" i="3"/>
  <c r="M134" i="3"/>
  <c r="K134" i="3"/>
  <c r="F134" i="3"/>
  <c r="E134" i="3"/>
  <c r="D134" i="3"/>
  <c r="C134" i="3"/>
  <c r="B134" i="3"/>
  <c r="A134" i="3"/>
  <c r="O133" i="3"/>
  <c r="M133" i="3"/>
  <c r="K133" i="3"/>
  <c r="J133" i="3"/>
  <c r="I133" i="3"/>
  <c r="H133" i="3"/>
  <c r="G133" i="3"/>
  <c r="F133" i="3"/>
  <c r="E133" i="3"/>
  <c r="D133" i="3"/>
  <c r="C133" i="3"/>
  <c r="B133" i="3"/>
  <c r="A133" i="3"/>
  <c r="O132" i="3"/>
  <c r="M132" i="3"/>
  <c r="K132" i="3"/>
  <c r="F132" i="3"/>
  <c r="E132" i="3"/>
  <c r="D132" i="3"/>
  <c r="C132" i="3"/>
  <c r="B132" i="3"/>
  <c r="A132" i="3"/>
  <c r="O131" i="3"/>
  <c r="M131" i="3"/>
  <c r="K131" i="3"/>
  <c r="J131" i="3"/>
  <c r="I131" i="3"/>
  <c r="H131" i="3"/>
  <c r="F131" i="3"/>
  <c r="E131" i="3"/>
  <c r="D131" i="3"/>
  <c r="C131" i="3"/>
  <c r="B131" i="3"/>
  <c r="A131" i="3"/>
  <c r="O130" i="3"/>
  <c r="M130" i="3"/>
  <c r="K130" i="3"/>
  <c r="J130" i="3"/>
  <c r="I130" i="3"/>
  <c r="H130" i="3"/>
  <c r="F130" i="3"/>
  <c r="E130" i="3"/>
  <c r="D130" i="3"/>
  <c r="C130" i="3"/>
  <c r="B130" i="3"/>
  <c r="A130" i="3"/>
  <c r="O129" i="3"/>
  <c r="M129" i="3"/>
  <c r="K129" i="3"/>
  <c r="H129" i="3"/>
  <c r="F129" i="3"/>
  <c r="E129" i="3"/>
  <c r="D129" i="3"/>
  <c r="C129" i="3"/>
  <c r="B129" i="3"/>
  <c r="A129" i="3"/>
  <c r="O128" i="3"/>
  <c r="M128" i="3"/>
  <c r="K128" i="3"/>
  <c r="H128" i="3"/>
  <c r="F128" i="3"/>
  <c r="E128" i="3"/>
  <c r="D128" i="3"/>
  <c r="C128" i="3"/>
  <c r="B128" i="3"/>
  <c r="A128" i="3"/>
  <c r="O127" i="3"/>
  <c r="M127" i="3"/>
  <c r="K127" i="3"/>
  <c r="G127" i="3"/>
  <c r="F127" i="3"/>
  <c r="E127" i="3"/>
  <c r="D127" i="3"/>
  <c r="C127" i="3"/>
  <c r="B127" i="3"/>
  <c r="A127" i="3"/>
  <c r="O126" i="3"/>
  <c r="M126" i="3"/>
  <c r="K126" i="3"/>
  <c r="J126" i="3"/>
  <c r="I126" i="3"/>
  <c r="H126" i="3"/>
  <c r="G126" i="3"/>
  <c r="F126" i="3"/>
  <c r="E126" i="3"/>
  <c r="D126" i="3"/>
  <c r="C126" i="3"/>
  <c r="B126" i="3"/>
  <c r="A126" i="3"/>
  <c r="O125" i="3"/>
  <c r="M125" i="3"/>
  <c r="K125" i="3"/>
  <c r="J125" i="3"/>
  <c r="I125" i="3"/>
  <c r="H125" i="3"/>
  <c r="G125" i="3"/>
  <c r="F125" i="3"/>
  <c r="E125" i="3"/>
  <c r="D125" i="3"/>
  <c r="C125" i="3"/>
  <c r="B125" i="3"/>
  <c r="A125" i="3"/>
  <c r="O124" i="3"/>
  <c r="M124" i="3"/>
  <c r="K124" i="3"/>
  <c r="J124" i="3"/>
  <c r="H124" i="3"/>
  <c r="G124" i="3"/>
  <c r="F124" i="3"/>
  <c r="E124" i="3"/>
  <c r="D124" i="3"/>
  <c r="C124" i="3"/>
  <c r="B124" i="3"/>
  <c r="A124" i="3"/>
  <c r="O123" i="3"/>
  <c r="M123" i="3"/>
  <c r="K123" i="3"/>
  <c r="F123" i="3"/>
  <c r="E123" i="3"/>
  <c r="D123" i="3"/>
  <c r="C123" i="3"/>
  <c r="B123" i="3"/>
  <c r="A123" i="3"/>
  <c r="O122" i="3"/>
  <c r="M122" i="3"/>
  <c r="K122" i="3"/>
  <c r="I122" i="3"/>
  <c r="H122" i="3"/>
  <c r="F122" i="3"/>
  <c r="E122" i="3"/>
  <c r="D122" i="3"/>
  <c r="C122" i="3"/>
  <c r="B122" i="3"/>
  <c r="A122" i="3"/>
  <c r="O121" i="3"/>
  <c r="M121" i="3"/>
  <c r="K121" i="3"/>
  <c r="F121" i="3"/>
  <c r="E121" i="3"/>
  <c r="D121" i="3"/>
  <c r="C121" i="3"/>
  <c r="B121" i="3"/>
  <c r="A121" i="3"/>
  <c r="O120" i="3"/>
  <c r="M120" i="3"/>
  <c r="K120" i="3"/>
  <c r="F120" i="3"/>
  <c r="E120" i="3"/>
  <c r="D120" i="3"/>
  <c r="C120" i="3"/>
  <c r="B120" i="3"/>
  <c r="A120" i="3"/>
  <c r="O119" i="3"/>
  <c r="M119" i="3"/>
  <c r="K119" i="3"/>
  <c r="J119" i="3"/>
  <c r="I119" i="3"/>
  <c r="H119" i="3"/>
  <c r="G119" i="3"/>
  <c r="F119" i="3"/>
  <c r="E119" i="3"/>
  <c r="D119" i="3"/>
  <c r="C119" i="3"/>
  <c r="B119" i="3"/>
  <c r="A119" i="3"/>
  <c r="O118" i="3"/>
  <c r="M118" i="3"/>
  <c r="K118" i="3"/>
  <c r="I118" i="3"/>
  <c r="H118" i="3"/>
  <c r="F118" i="3"/>
  <c r="E118" i="3"/>
  <c r="D118" i="3"/>
  <c r="C118" i="3"/>
  <c r="B118" i="3"/>
  <c r="A118" i="3"/>
  <c r="O117" i="3"/>
  <c r="M117" i="3"/>
  <c r="K117" i="3"/>
  <c r="I117" i="3"/>
  <c r="H117" i="3"/>
  <c r="F117" i="3"/>
  <c r="E117" i="3"/>
  <c r="D117" i="3"/>
  <c r="C117" i="3"/>
  <c r="B117" i="3"/>
  <c r="A117" i="3"/>
  <c r="O116" i="3"/>
  <c r="M116" i="3"/>
  <c r="K116" i="3"/>
  <c r="J116" i="3"/>
  <c r="I116" i="3"/>
  <c r="H116" i="3"/>
  <c r="F116" i="3"/>
  <c r="E116" i="3"/>
  <c r="D116" i="3"/>
  <c r="C116" i="3"/>
  <c r="B116" i="3"/>
  <c r="A116" i="3"/>
  <c r="O115" i="3"/>
  <c r="M115" i="3"/>
  <c r="K115" i="3"/>
  <c r="H115" i="3"/>
  <c r="F115" i="3"/>
  <c r="E115" i="3"/>
  <c r="D115" i="3"/>
  <c r="C115" i="3"/>
  <c r="B115" i="3"/>
  <c r="A115" i="3"/>
  <c r="O114" i="3"/>
  <c r="N114" i="3"/>
  <c r="M114" i="3"/>
  <c r="K114" i="3"/>
  <c r="J114" i="3"/>
  <c r="I114" i="3"/>
  <c r="H114" i="3"/>
  <c r="G114" i="3"/>
  <c r="F114" i="3"/>
  <c r="E114" i="3"/>
  <c r="D114" i="3"/>
  <c r="C114" i="3"/>
  <c r="B114" i="3"/>
  <c r="A114" i="3"/>
  <c r="O113" i="3"/>
  <c r="M113" i="3"/>
  <c r="K113" i="3"/>
  <c r="F113" i="3"/>
  <c r="E113" i="3"/>
  <c r="D113" i="3"/>
  <c r="C113" i="3"/>
  <c r="B113" i="3"/>
  <c r="A113" i="3"/>
  <c r="O112" i="3"/>
  <c r="M112" i="3"/>
  <c r="K112" i="3"/>
  <c r="J112" i="3"/>
  <c r="H112" i="3"/>
  <c r="F112" i="3"/>
  <c r="E112" i="3"/>
  <c r="D112" i="3"/>
  <c r="C112" i="3"/>
  <c r="B112" i="3"/>
  <c r="A112" i="3"/>
  <c r="O111" i="3"/>
  <c r="M111" i="3"/>
  <c r="K111" i="3"/>
  <c r="H111" i="3"/>
  <c r="G111" i="3"/>
  <c r="F111" i="3"/>
  <c r="E111" i="3"/>
  <c r="D111" i="3"/>
  <c r="C111" i="3"/>
  <c r="B111" i="3"/>
  <c r="A111" i="3"/>
  <c r="O110" i="3"/>
  <c r="M110" i="3"/>
  <c r="K110" i="3"/>
  <c r="H110" i="3"/>
  <c r="G110" i="3"/>
  <c r="F110" i="3"/>
  <c r="E110" i="3"/>
  <c r="D110" i="3"/>
  <c r="C110" i="3"/>
  <c r="B110" i="3"/>
  <c r="A110" i="3"/>
  <c r="O109" i="3"/>
  <c r="M109" i="3"/>
  <c r="K109" i="3"/>
  <c r="I109" i="3"/>
  <c r="H109" i="3"/>
  <c r="G109" i="3"/>
  <c r="F109" i="3"/>
  <c r="E109" i="3"/>
  <c r="D109" i="3"/>
  <c r="C109" i="3"/>
  <c r="B109" i="3"/>
  <c r="A109" i="3"/>
  <c r="O108" i="3"/>
  <c r="M108" i="3"/>
  <c r="K108" i="3"/>
  <c r="I108" i="3"/>
  <c r="H108" i="3"/>
  <c r="G108" i="3"/>
  <c r="F108" i="3"/>
  <c r="E108" i="3"/>
  <c r="D108" i="3"/>
  <c r="C108" i="3"/>
  <c r="B108" i="3"/>
  <c r="A108" i="3"/>
  <c r="O107" i="3"/>
  <c r="M107" i="3"/>
  <c r="K107" i="3"/>
  <c r="F107" i="3"/>
  <c r="E107" i="3"/>
  <c r="D107" i="3"/>
  <c r="C107" i="3"/>
  <c r="B107" i="3"/>
  <c r="A107" i="3"/>
  <c r="O106" i="3"/>
  <c r="M106" i="3"/>
  <c r="K106" i="3"/>
  <c r="I106" i="3"/>
  <c r="H106" i="3"/>
  <c r="G106" i="3"/>
  <c r="F106" i="3"/>
  <c r="E106" i="3"/>
  <c r="D106" i="3"/>
  <c r="C106" i="3"/>
  <c r="B106" i="3"/>
  <c r="A106" i="3"/>
  <c r="O105" i="3"/>
  <c r="M105" i="3"/>
  <c r="K105" i="3"/>
  <c r="F105" i="3"/>
  <c r="E105" i="3"/>
  <c r="D105" i="3"/>
  <c r="C105" i="3"/>
  <c r="B105" i="3"/>
  <c r="A105" i="3"/>
  <c r="O104" i="3"/>
  <c r="M104" i="3"/>
  <c r="K104" i="3"/>
  <c r="F104" i="3"/>
  <c r="E104" i="3"/>
  <c r="D104" i="3"/>
  <c r="C104" i="3"/>
  <c r="B104" i="3"/>
  <c r="A104" i="3"/>
  <c r="O103" i="3"/>
  <c r="M103" i="3"/>
  <c r="K103" i="3"/>
  <c r="I103" i="3"/>
  <c r="H103" i="3"/>
  <c r="F103" i="3"/>
  <c r="E103" i="3"/>
  <c r="D103" i="3"/>
  <c r="C103" i="3"/>
  <c r="B103" i="3"/>
  <c r="A103" i="3"/>
  <c r="O102" i="3"/>
  <c r="M102" i="3"/>
  <c r="K102" i="3"/>
  <c r="J102" i="3"/>
  <c r="H102" i="3"/>
  <c r="F102" i="3"/>
  <c r="E102" i="3"/>
  <c r="D102" i="3"/>
  <c r="C102" i="3"/>
  <c r="B102" i="3"/>
  <c r="A102" i="3"/>
  <c r="O101" i="3"/>
  <c r="M101" i="3"/>
  <c r="K101" i="3"/>
  <c r="I101" i="3"/>
  <c r="H101" i="3"/>
  <c r="F101" i="3"/>
  <c r="E101" i="3"/>
  <c r="D101" i="3"/>
  <c r="C101" i="3"/>
  <c r="B101" i="3"/>
  <c r="A101" i="3"/>
  <c r="O100" i="3"/>
  <c r="M100" i="3"/>
  <c r="K100" i="3"/>
  <c r="I100" i="3"/>
  <c r="H100" i="3"/>
  <c r="F100" i="3"/>
  <c r="E100" i="3"/>
  <c r="D100" i="3"/>
  <c r="C100" i="3"/>
  <c r="B100" i="3"/>
  <c r="A100" i="3"/>
  <c r="O99" i="3"/>
  <c r="M99" i="3"/>
  <c r="K99" i="3"/>
  <c r="I99" i="3"/>
  <c r="H99" i="3"/>
  <c r="F99" i="3"/>
  <c r="E99" i="3"/>
  <c r="D99" i="3"/>
  <c r="C99" i="3"/>
  <c r="B99" i="3"/>
  <c r="A99" i="3"/>
  <c r="O98" i="3"/>
  <c r="M98" i="3"/>
  <c r="K98" i="3"/>
  <c r="F98" i="3"/>
  <c r="E98" i="3"/>
  <c r="D98" i="3"/>
  <c r="C98" i="3"/>
  <c r="B98" i="3"/>
  <c r="A98" i="3"/>
  <c r="O97" i="3"/>
  <c r="M97" i="3"/>
  <c r="K97" i="3"/>
  <c r="I97" i="3"/>
  <c r="H97" i="3"/>
  <c r="F97" i="3"/>
  <c r="E97" i="3"/>
  <c r="D97" i="3"/>
  <c r="C97" i="3"/>
  <c r="B97" i="3"/>
  <c r="A97" i="3"/>
  <c r="O96" i="3"/>
  <c r="M96" i="3"/>
  <c r="K96" i="3"/>
  <c r="J96" i="3"/>
  <c r="I96" i="3"/>
  <c r="H96" i="3"/>
  <c r="G96" i="3"/>
  <c r="F96" i="3"/>
  <c r="E96" i="3"/>
  <c r="D96" i="3"/>
  <c r="C96" i="3"/>
  <c r="B96" i="3"/>
  <c r="A96" i="3"/>
  <c r="O95" i="3"/>
  <c r="M95" i="3"/>
  <c r="K95" i="3"/>
  <c r="H95" i="3"/>
  <c r="G95" i="3"/>
  <c r="F95" i="3"/>
  <c r="E95" i="3"/>
  <c r="D95" i="3"/>
  <c r="C95" i="3"/>
  <c r="B95" i="3"/>
  <c r="A95" i="3"/>
  <c r="O94" i="3"/>
  <c r="M94" i="3"/>
  <c r="K94" i="3"/>
  <c r="I94" i="3"/>
  <c r="H94" i="3"/>
  <c r="F94" i="3"/>
  <c r="E94" i="3"/>
  <c r="D94" i="3"/>
  <c r="C94" i="3"/>
  <c r="B94" i="3"/>
  <c r="A94" i="3"/>
  <c r="O93" i="3"/>
  <c r="M93" i="3"/>
  <c r="K93" i="3"/>
  <c r="H93" i="3"/>
  <c r="F93" i="3"/>
  <c r="E93" i="3"/>
  <c r="D93" i="3"/>
  <c r="C93" i="3"/>
  <c r="B93" i="3"/>
  <c r="A93" i="3"/>
  <c r="O92" i="3"/>
  <c r="M92" i="3"/>
  <c r="K92" i="3"/>
  <c r="F92" i="3"/>
  <c r="E92" i="3"/>
  <c r="D92" i="3"/>
  <c r="C92" i="3"/>
  <c r="B92" i="3"/>
  <c r="A92" i="3"/>
  <c r="O91" i="3"/>
  <c r="M91" i="3"/>
  <c r="K91" i="3"/>
  <c r="I91" i="3"/>
  <c r="H91" i="3"/>
  <c r="F91" i="3"/>
  <c r="E91" i="3"/>
  <c r="D91" i="3"/>
  <c r="C91" i="3"/>
  <c r="B91" i="3"/>
  <c r="A91" i="3"/>
  <c r="O90" i="3"/>
  <c r="M90" i="3"/>
  <c r="K90" i="3"/>
  <c r="I90" i="3"/>
  <c r="H90" i="3"/>
  <c r="F90" i="3"/>
  <c r="E90" i="3"/>
  <c r="D90" i="3"/>
  <c r="C90" i="3"/>
  <c r="B90" i="3"/>
  <c r="A90" i="3"/>
  <c r="O89" i="3"/>
  <c r="M89" i="3"/>
  <c r="K89" i="3"/>
  <c r="H89" i="3"/>
  <c r="F89" i="3"/>
  <c r="E89" i="3"/>
  <c r="D89" i="3"/>
  <c r="C89" i="3"/>
  <c r="B89" i="3"/>
  <c r="A89" i="3"/>
  <c r="O88" i="3"/>
  <c r="M88" i="3"/>
  <c r="K88" i="3"/>
  <c r="F88" i="3"/>
  <c r="E88" i="3"/>
  <c r="D88" i="3"/>
  <c r="C88" i="3"/>
  <c r="B88" i="3"/>
  <c r="A88" i="3"/>
  <c r="O87" i="3"/>
  <c r="M87" i="3"/>
  <c r="K87" i="3"/>
  <c r="H87" i="3"/>
  <c r="F87" i="3"/>
  <c r="E87" i="3"/>
  <c r="D87" i="3"/>
  <c r="C87" i="3"/>
  <c r="B87" i="3"/>
  <c r="A87" i="3"/>
  <c r="O86" i="3"/>
  <c r="M86" i="3"/>
  <c r="K86" i="3"/>
  <c r="J86" i="3"/>
  <c r="F86" i="3"/>
  <c r="E86" i="3"/>
  <c r="D86" i="3"/>
  <c r="C86" i="3"/>
  <c r="B86" i="3"/>
  <c r="A86" i="3"/>
  <c r="O85" i="3"/>
  <c r="M85" i="3"/>
  <c r="K85" i="3"/>
  <c r="I85" i="3"/>
  <c r="H85" i="3"/>
  <c r="G85" i="3"/>
  <c r="F85" i="3"/>
  <c r="E85" i="3"/>
  <c r="D85" i="3"/>
  <c r="C85" i="3"/>
  <c r="B85" i="3"/>
  <c r="A85" i="3"/>
  <c r="O84" i="3"/>
  <c r="M84" i="3"/>
  <c r="K84" i="3"/>
  <c r="F84" i="3"/>
  <c r="E84" i="3"/>
  <c r="D84" i="3"/>
  <c r="C84" i="3"/>
  <c r="B84" i="3"/>
  <c r="A84" i="3"/>
  <c r="O83" i="3"/>
  <c r="M83" i="3"/>
  <c r="K83" i="3"/>
  <c r="F83" i="3"/>
  <c r="E83" i="3"/>
  <c r="D83" i="3"/>
  <c r="C83" i="3"/>
  <c r="B83" i="3"/>
  <c r="A83" i="3"/>
  <c r="O82" i="3"/>
  <c r="M82" i="3"/>
  <c r="K82" i="3"/>
  <c r="J82" i="3"/>
  <c r="I82" i="3"/>
  <c r="H82" i="3"/>
  <c r="G82" i="3"/>
  <c r="F82" i="3"/>
  <c r="E82" i="3"/>
  <c r="D82" i="3"/>
  <c r="C82" i="3"/>
  <c r="B82" i="3"/>
  <c r="A82" i="3"/>
  <c r="O81" i="3"/>
  <c r="M81" i="3"/>
  <c r="K81" i="3"/>
  <c r="H81" i="3"/>
  <c r="F81" i="3"/>
  <c r="E81" i="3"/>
  <c r="D81" i="3"/>
  <c r="C81" i="3"/>
  <c r="B81" i="3"/>
  <c r="A81" i="3"/>
  <c r="O80" i="3"/>
  <c r="M80" i="3"/>
  <c r="K80" i="3"/>
  <c r="J80" i="3"/>
  <c r="I80" i="3"/>
  <c r="H80" i="3"/>
  <c r="G80" i="3"/>
  <c r="F80" i="3"/>
  <c r="E80" i="3"/>
  <c r="D80" i="3"/>
  <c r="C80" i="3"/>
  <c r="B80" i="3"/>
  <c r="A80" i="3"/>
  <c r="O79" i="3"/>
  <c r="M79" i="3"/>
  <c r="K79" i="3"/>
  <c r="J79" i="3"/>
  <c r="I79" i="3"/>
  <c r="H79" i="3"/>
  <c r="G79" i="3"/>
  <c r="F79" i="3"/>
  <c r="E79" i="3"/>
  <c r="D79" i="3"/>
  <c r="C79" i="3"/>
  <c r="B79" i="3"/>
  <c r="A79" i="3"/>
  <c r="O78" i="3"/>
  <c r="M78" i="3"/>
  <c r="K78" i="3"/>
  <c r="J78" i="3"/>
  <c r="I78" i="3"/>
  <c r="H78" i="3"/>
  <c r="G78" i="3"/>
  <c r="F78" i="3"/>
  <c r="E78" i="3"/>
  <c r="D78" i="3"/>
  <c r="C78" i="3"/>
  <c r="B78" i="3"/>
  <c r="A78" i="3"/>
  <c r="O77" i="3"/>
  <c r="M77" i="3"/>
  <c r="K77" i="3"/>
  <c r="J77" i="3"/>
  <c r="I77" i="3"/>
  <c r="H77" i="3"/>
  <c r="G77" i="3"/>
  <c r="F77" i="3"/>
  <c r="E77" i="3"/>
  <c r="D77" i="3"/>
  <c r="C77" i="3"/>
  <c r="B77" i="3"/>
  <c r="A77" i="3"/>
  <c r="O76" i="3"/>
  <c r="M76" i="3"/>
  <c r="K76" i="3"/>
  <c r="F76" i="3"/>
  <c r="E76" i="3"/>
  <c r="D76" i="3"/>
  <c r="C76" i="3"/>
  <c r="B76" i="3"/>
  <c r="A76" i="3"/>
  <c r="O75" i="3"/>
  <c r="M75" i="3"/>
  <c r="K75" i="3"/>
  <c r="J75" i="3"/>
  <c r="I75" i="3"/>
  <c r="H75" i="3"/>
  <c r="G75" i="3"/>
  <c r="F75" i="3"/>
  <c r="E75" i="3"/>
  <c r="D75" i="3"/>
  <c r="C75" i="3"/>
  <c r="B75" i="3"/>
  <c r="A75" i="3"/>
  <c r="O74" i="3"/>
  <c r="M74" i="3"/>
  <c r="K74" i="3"/>
  <c r="I74" i="3"/>
  <c r="H74" i="3"/>
  <c r="F74" i="3"/>
  <c r="E74" i="3"/>
  <c r="D74" i="3"/>
  <c r="C74" i="3"/>
  <c r="B74" i="3"/>
  <c r="A74" i="3"/>
  <c r="O73" i="3"/>
  <c r="M73" i="3"/>
  <c r="K73" i="3"/>
  <c r="H73" i="3"/>
  <c r="G73" i="3"/>
  <c r="F73" i="3"/>
  <c r="E73" i="3"/>
  <c r="D73" i="3"/>
  <c r="C73" i="3"/>
  <c r="B73" i="3"/>
  <c r="A73" i="3"/>
  <c r="O72" i="3"/>
  <c r="M72" i="3"/>
  <c r="K72" i="3"/>
  <c r="F72" i="3"/>
  <c r="E72" i="3"/>
  <c r="D72" i="3"/>
  <c r="C72" i="3"/>
  <c r="B72" i="3"/>
  <c r="A72" i="3"/>
  <c r="O71" i="3"/>
  <c r="M71" i="3"/>
  <c r="K71" i="3"/>
  <c r="I71" i="3"/>
  <c r="H71" i="3"/>
  <c r="F71" i="3"/>
  <c r="E71" i="3"/>
  <c r="D71" i="3"/>
  <c r="C71" i="3"/>
  <c r="B71" i="3"/>
  <c r="A71" i="3"/>
  <c r="O70" i="3"/>
  <c r="M70" i="3"/>
  <c r="K70" i="3"/>
  <c r="I70" i="3"/>
  <c r="H70" i="3"/>
  <c r="G70" i="3"/>
  <c r="F70" i="3"/>
  <c r="E70" i="3"/>
  <c r="D70" i="3"/>
  <c r="C70" i="3"/>
  <c r="B70" i="3"/>
  <c r="A70" i="3"/>
  <c r="O69" i="3"/>
  <c r="M69" i="3"/>
  <c r="K69" i="3"/>
  <c r="F69" i="3"/>
  <c r="E69" i="3"/>
  <c r="D69" i="3"/>
  <c r="C69" i="3"/>
  <c r="B69" i="3"/>
  <c r="A69" i="3"/>
  <c r="O68" i="3"/>
  <c r="M68" i="3"/>
  <c r="K68" i="3"/>
  <c r="H68" i="3"/>
  <c r="G68" i="3"/>
  <c r="F68" i="3"/>
  <c r="E68" i="3"/>
  <c r="D68" i="3"/>
  <c r="C68" i="3"/>
  <c r="B68" i="3"/>
  <c r="A68" i="3"/>
  <c r="O67" i="3"/>
  <c r="M67" i="3"/>
  <c r="K67" i="3"/>
  <c r="H67" i="3"/>
  <c r="G67" i="3"/>
  <c r="F67" i="3"/>
  <c r="E67" i="3"/>
  <c r="D67" i="3"/>
  <c r="C67" i="3"/>
  <c r="B67" i="3"/>
  <c r="A67" i="3"/>
  <c r="O66" i="3"/>
  <c r="M66" i="3"/>
  <c r="K66" i="3"/>
  <c r="F66" i="3"/>
  <c r="E66" i="3"/>
  <c r="D66" i="3"/>
  <c r="C66" i="3"/>
  <c r="B66" i="3"/>
  <c r="A66" i="3"/>
  <c r="O65" i="3"/>
  <c r="M65" i="3"/>
  <c r="K65" i="3"/>
  <c r="I65" i="3"/>
  <c r="H65" i="3"/>
  <c r="G65" i="3"/>
  <c r="F65" i="3"/>
  <c r="E65" i="3"/>
  <c r="D65" i="3"/>
  <c r="C65" i="3"/>
  <c r="B65" i="3"/>
  <c r="A65" i="3"/>
  <c r="O64" i="3"/>
  <c r="M64" i="3"/>
  <c r="K64" i="3"/>
  <c r="G64" i="3"/>
  <c r="F64" i="3"/>
  <c r="E64" i="3"/>
  <c r="D64" i="3"/>
  <c r="C64" i="3"/>
  <c r="B64" i="3"/>
  <c r="A64" i="3"/>
  <c r="O63" i="3"/>
  <c r="M63" i="3"/>
  <c r="K63" i="3"/>
  <c r="F63" i="3"/>
  <c r="E63" i="3"/>
  <c r="D63" i="3"/>
  <c r="C63" i="3"/>
  <c r="B63" i="3"/>
  <c r="A63" i="3"/>
  <c r="O62" i="3"/>
  <c r="M62" i="3"/>
  <c r="K62" i="3"/>
  <c r="H62" i="3"/>
  <c r="F62" i="3"/>
  <c r="E62" i="3"/>
  <c r="D62" i="3"/>
  <c r="C62" i="3"/>
  <c r="B62" i="3"/>
  <c r="A62" i="3"/>
  <c r="O61" i="3"/>
  <c r="M61" i="3"/>
  <c r="K61" i="3"/>
  <c r="F61" i="3"/>
  <c r="E61" i="3"/>
  <c r="D61" i="3"/>
  <c r="C61" i="3"/>
  <c r="B61" i="3"/>
  <c r="A61" i="3"/>
  <c r="O60" i="3"/>
  <c r="N60" i="3"/>
  <c r="M60" i="3"/>
  <c r="K60" i="3"/>
  <c r="H60" i="3"/>
  <c r="G60" i="3"/>
  <c r="F60" i="3"/>
  <c r="E60" i="3"/>
  <c r="D60" i="3"/>
  <c r="C60" i="3"/>
  <c r="B60" i="3"/>
  <c r="A60" i="3"/>
  <c r="O59" i="3"/>
  <c r="N59" i="3"/>
  <c r="M59" i="3"/>
  <c r="K59" i="3"/>
  <c r="J59" i="3"/>
  <c r="H59" i="3"/>
  <c r="F59" i="3"/>
  <c r="E59" i="3"/>
  <c r="D59" i="3"/>
  <c r="C59" i="3"/>
  <c r="B59" i="3"/>
  <c r="A59" i="3"/>
  <c r="O58" i="3"/>
  <c r="M58" i="3"/>
  <c r="K58" i="3"/>
  <c r="H58" i="3"/>
  <c r="G58" i="3"/>
  <c r="F58" i="3"/>
  <c r="E58" i="3"/>
  <c r="D58" i="3"/>
  <c r="C58" i="3"/>
  <c r="B58" i="3"/>
  <c r="A58" i="3"/>
  <c r="O57" i="3"/>
  <c r="M57" i="3"/>
  <c r="K57" i="3"/>
  <c r="H57" i="3"/>
  <c r="G57" i="3"/>
  <c r="F57" i="3"/>
  <c r="E57" i="3"/>
  <c r="D57" i="3"/>
  <c r="C57" i="3"/>
  <c r="B57" i="3"/>
  <c r="A57" i="3"/>
  <c r="O56" i="3"/>
  <c r="M56" i="3"/>
  <c r="K56" i="3"/>
  <c r="I56" i="3"/>
  <c r="H56" i="3"/>
  <c r="F56" i="3"/>
  <c r="E56" i="3"/>
  <c r="D56" i="3"/>
  <c r="C56" i="3"/>
  <c r="B56" i="3"/>
  <c r="A56" i="3"/>
  <c r="O55" i="3"/>
  <c r="M55" i="3"/>
  <c r="K55" i="3"/>
  <c r="I55" i="3"/>
  <c r="H55" i="3"/>
  <c r="F55" i="3"/>
  <c r="E55" i="3"/>
  <c r="D55" i="3"/>
  <c r="C55" i="3"/>
  <c r="B55" i="3"/>
  <c r="A55" i="3"/>
  <c r="O54" i="3"/>
  <c r="M54" i="3"/>
  <c r="K54" i="3"/>
  <c r="J54" i="3"/>
  <c r="I54" i="3"/>
  <c r="H54" i="3"/>
  <c r="G54" i="3"/>
  <c r="F54" i="3"/>
  <c r="E54" i="3"/>
  <c r="D54" i="3"/>
  <c r="C54" i="3"/>
  <c r="B54" i="3"/>
  <c r="A54" i="3"/>
  <c r="O53" i="3"/>
  <c r="M53" i="3"/>
  <c r="K53" i="3"/>
  <c r="J53" i="3"/>
  <c r="I53" i="3"/>
  <c r="H53" i="3"/>
  <c r="G53" i="3"/>
  <c r="F53" i="3"/>
  <c r="E53" i="3"/>
  <c r="D53" i="3"/>
  <c r="C53" i="3"/>
  <c r="B53" i="3"/>
  <c r="A53" i="3"/>
  <c r="O52" i="3"/>
  <c r="M52" i="3"/>
  <c r="K52" i="3"/>
  <c r="I52" i="3"/>
  <c r="H52" i="3"/>
  <c r="F52" i="3"/>
  <c r="E52" i="3"/>
  <c r="D52" i="3"/>
  <c r="C52" i="3"/>
  <c r="B52" i="3"/>
  <c r="A52" i="3"/>
  <c r="O51" i="3"/>
  <c r="M51" i="3"/>
  <c r="K51" i="3"/>
  <c r="H51" i="3"/>
  <c r="F51" i="3"/>
  <c r="E51" i="3"/>
  <c r="D51" i="3"/>
  <c r="C51" i="3"/>
  <c r="B51" i="3"/>
  <c r="A51" i="3"/>
  <c r="O50" i="3"/>
  <c r="M50" i="3"/>
  <c r="K50" i="3"/>
  <c r="H50" i="3"/>
  <c r="G50" i="3"/>
  <c r="F50" i="3"/>
  <c r="E50" i="3"/>
  <c r="D50" i="3"/>
  <c r="C50" i="3"/>
  <c r="B50" i="3"/>
  <c r="A50" i="3"/>
  <c r="O49" i="3"/>
  <c r="M49" i="3"/>
  <c r="K49" i="3"/>
  <c r="J49" i="3"/>
  <c r="I49" i="3"/>
  <c r="H49" i="3"/>
  <c r="G49" i="3"/>
  <c r="F49" i="3"/>
  <c r="E49" i="3"/>
  <c r="D49" i="3"/>
  <c r="C49" i="3"/>
  <c r="B49" i="3"/>
  <c r="A49" i="3"/>
  <c r="O48" i="3"/>
  <c r="M48" i="3"/>
  <c r="K48" i="3"/>
  <c r="F48" i="3"/>
  <c r="E48" i="3"/>
  <c r="D48" i="3"/>
  <c r="C48" i="3"/>
  <c r="B48" i="3"/>
  <c r="A48" i="3"/>
  <c r="O47" i="3"/>
  <c r="M47" i="3"/>
  <c r="K47" i="3"/>
  <c r="I47" i="3"/>
  <c r="H47" i="3"/>
  <c r="F47" i="3"/>
  <c r="E47" i="3"/>
  <c r="D47" i="3"/>
  <c r="C47" i="3"/>
  <c r="B47" i="3"/>
  <c r="A47" i="3"/>
  <c r="O46" i="3"/>
  <c r="M46" i="3"/>
  <c r="K46" i="3"/>
  <c r="I46" i="3"/>
  <c r="H46" i="3"/>
  <c r="F46" i="3"/>
  <c r="E46" i="3"/>
  <c r="D46" i="3"/>
  <c r="C46" i="3"/>
  <c r="B46" i="3"/>
  <c r="A46" i="3"/>
  <c r="O45" i="3"/>
  <c r="M45" i="3"/>
  <c r="K45" i="3"/>
  <c r="F45" i="3"/>
  <c r="E45" i="3"/>
  <c r="D45" i="3"/>
  <c r="C45" i="3"/>
  <c r="B45" i="3"/>
  <c r="A45" i="3"/>
  <c r="O44" i="3"/>
  <c r="M44" i="3"/>
  <c r="K44" i="3"/>
  <c r="H44" i="3"/>
  <c r="F44" i="3"/>
  <c r="E44" i="3"/>
  <c r="D44" i="3"/>
  <c r="C44" i="3"/>
  <c r="B44" i="3"/>
  <c r="A44" i="3"/>
  <c r="O43" i="3"/>
  <c r="M43" i="3"/>
  <c r="K43" i="3"/>
  <c r="I43" i="3"/>
  <c r="H43" i="3"/>
  <c r="F43" i="3"/>
  <c r="E43" i="3"/>
  <c r="D43" i="3"/>
  <c r="C43" i="3"/>
  <c r="B43" i="3"/>
  <c r="A43" i="3"/>
  <c r="O42" i="3"/>
  <c r="M42" i="3"/>
  <c r="K42" i="3"/>
  <c r="F42" i="3"/>
  <c r="E42" i="3"/>
  <c r="D42" i="3"/>
  <c r="C42" i="3"/>
  <c r="B42" i="3"/>
  <c r="A42" i="3"/>
  <c r="O41" i="3"/>
  <c r="N41" i="3"/>
  <c r="M41" i="3"/>
  <c r="K41" i="3"/>
  <c r="J41" i="3"/>
  <c r="H41" i="3"/>
  <c r="F41" i="3"/>
  <c r="E41" i="3"/>
  <c r="D41" i="3"/>
  <c r="C41" i="3"/>
  <c r="B41" i="3"/>
  <c r="A41" i="3"/>
  <c r="O40" i="3"/>
  <c r="M40" i="3"/>
  <c r="K40" i="3"/>
  <c r="H40" i="3"/>
  <c r="G40" i="3"/>
  <c r="F40" i="3"/>
  <c r="E40" i="3"/>
  <c r="D40" i="3"/>
  <c r="C40" i="3"/>
  <c r="B40" i="3"/>
  <c r="A40" i="3"/>
  <c r="O39" i="3"/>
  <c r="M39" i="3"/>
  <c r="K39" i="3"/>
  <c r="J39" i="3"/>
  <c r="I39" i="3"/>
  <c r="H39" i="3"/>
  <c r="G39" i="3"/>
  <c r="F39" i="3"/>
  <c r="E39" i="3"/>
  <c r="D39" i="3"/>
  <c r="C39" i="3"/>
  <c r="B39" i="3"/>
  <c r="A39" i="3"/>
  <c r="O38" i="3"/>
  <c r="M38" i="3"/>
  <c r="K38" i="3"/>
  <c r="F38" i="3"/>
  <c r="E38" i="3"/>
  <c r="D38" i="3"/>
  <c r="C38" i="3"/>
  <c r="B38" i="3"/>
  <c r="A38" i="3"/>
  <c r="O37" i="3"/>
  <c r="M37" i="3"/>
  <c r="K37" i="3"/>
  <c r="H37" i="3"/>
  <c r="F37" i="3"/>
  <c r="E37" i="3"/>
  <c r="D37" i="3"/>
  <c r="C37" i="3"/>
  <c r="B37" i="3"/>
  <c r="A37" i="3"/>
  <c r="O36" i="3"/>
  <c r="M36" i="3"/>
  <c r="K36" i="3"/>
  <c r="F36" i="3"/>
  <c r="E36" i="3"/>
  <c r="D36" i="3"/>
  <c r="C36" i="3"/>
  <c r="B36" i="3"/>
  <c r="A36" i="3"/>
  <c r="O35" i="3"/>
  <c r="M35" i="3"/>
  <c r="K35" i="3"/>
  <c r="I35" i="3"/>
  <c r="H35" i="3"/>
  <c r="F35" i="3"/>
  <c r="E35" i="3"/>
  <c r="D35" i="3"/>
  <c r="C35" i="3"/>
  <c r="B35" i="3"/>
  <c r="A35" i="3"/>
  <c r="O34" i="3"/>
  <c r="M34" i="3"/>
  <c r="K34" i="3"/>
  <c r="H34" i="3"/>
  <c r="F34" i="3"/>
  <c r="E34" i="3"/>
  <c r="D34" i="3"/>
  <c r="C34" i="3"/>
  <c r="B34" i="3"/>
  <c r="A34" i="3"/>
  <c r="O33" i="3"/>
  <c r="M33" i="3"/>
  <c r="K33" i="3"/>
  <c r="H33" i="3"/>
  <c r="G33" i="3"/>
  <c r="F33" i="3"/>
  <c r="E33" i="3"/>
  <c r="D33" i="3"/>
  <c r="C33" i="3"/>
  <c r="B33" i="3"/>
  <c r="A33" i="3"/>
  <c r="O32" i="3"/>
  <c r="M32" i="3"/>
  <c r="K32" i="3"/>
  <c r="H32" i="3"/>
  <c r="F32" i="3"/>
  <c r="E32" i="3"/>
  <c r="D32" i="3"/>
  <c r="C32" i="3"/>
  <c r="B32" i="3"/>
  <c r="A32" i="3"/>
  <c r="O31" i="3"/>
  <c r="M31" i="3"/>
  <c r="K31" i="3"/>
  <c r="F31" i="3"/>
  <c r="E31" i="3"/>
  <c r="D31" i="3"/>
  <c r="C31" i="3"/>
  <c r="B31" i="3"/>
  <c r="A31" i="3"/>
  <c r="O30" i="3"/>
  <c r="M30" i="3"/>
  <c r="K30" i="3"/>
  <c r="F30" i="3"/>
  <c r="E30" i="3"/>
  <c r="D30" i="3"/>
  <c r="C30" i="3"/>
  <c r="B30" i="3"/>
  <c r="A30" i="3"/>
  <c r="O29" i="3"/>
  <c r="M29" i="3"/>
  <c r="K29" i="3"/>
  <c r="I29" i="3"/>
  <c r="H29" i="3"/>
  <c r="F29" i="3"/>
  <c r="E29" i="3"/>
  <c r="D29" i="3"/>
  <c r="C29" i="3"/>
  <c r="B29" i="3"/>
  <c r="A29" i="3"/>
  <c r="O28" i="3"/>
  <c r="M28" i="3"/>
  <c r="K28" i="3"/>
  <c r="J28" i="3"/>
  <c r="I28" i="3"/>
  <c r="H28" i="3"/>
  <c r="F28" i="3"/>
  <c r="E28" i="3"/>
  <c r="D28" i="3"/>
  <c r="C28" i="3"/>
  <c r="B28" i="3"/>
  <c r="A28" i="3"/>
  <c r="O27" i="3"/>
  <c r="M27" i="3"/>
  <c r="K27" i="3"/>
  <c r="I27" i="3"/>
  <c r="H27" i="3"/>
  <c r="G27" i="3"/>
  <c r="F27" i="3"/>
  <c r="E27" i="3"/>
  <c r="D27" i="3"/>
  <c r="C27" i="3"/>
  <c r="B27" i="3"/>
  <c r="A27" i="3"/>
  <c r="O26" i="3"/>
  <c r="M26" i="3"/>
  <c r="K26" i="3"/>
  <c r="J26" i="3"/>
  <c r="I26" i="3"/>
  <c r="H26" i="3"/>
  <c r="G26" i="3"/>
  <c r="F26" i="3"/>
  <c r="E26" i="3"/>
  <c r="D26" i="3"/>
  <c r="C26" i="3"/>
  <c r="B26" i="3"/>
  <c r="A26" i="3"/>
  <c r="O25" i="3"/>
  <c r="M25" i="3"/>
  <c r="K25" i="3"/>
  <c r="I25" i="3"/>
  <c r="H25" i="3"/>
  <c r="F25" i="3"/>
  <c r="E25" i="3"/>
  <c r="D25" i="3"/>
  <c r="C25" i="3"/>
  <c r="B25" i="3"/>
  <c r="A25" i="3"/>
  <c r="O24" i="3"/>
  <c r="M24" i="3"/>
  <c r="K24" i="3"/>
  <c r="H24" i="3"/>
  <c r="G24" i="3"/>
  <c r="F24" i="3"/>
  <c r="E24" i="3"/>
  <c r="D24" i="3"/>
  <c r="C24" i="3"/>
  <c r="B24" i="3"/>
  <c r="A24" i="3"/>
  <c r="O23" i="3"/>
  <c r="M23" i="3"/>
  <c r="K23" i="3"/>
  <c r="I23" i="3"/>
  <c r="H23" i="3"/>
  <c r="G23" i="3"/>
  <c r="E23" i="3"/>
  <c r="D23" i="3"/>
  <c r="C23" i="3"/>
  <c r="B23" i="3"/>
  <c r="A23" i="3"/>
  <c r="O22" i="3"/>
  <c r="M22" i="3"/>
  <c r="K22" i="3"/>
  <c r="H22" i="3"/>
  <c r="F22" i="3"/>
  <c r="E22" i="3"/>
  <c r="D22" i="3"/>
  <c r="C22" i="3"/>
  <c r="B22" i="3"/>
  <c r="A22" i="3"/>
  <c r="O21" i="3"/>
  <c r="M21" i="3"/>
  <c r="K21" i="3"/>
  <c r="F21" i="3"/>
  <c r="E21" i="3"/>
  <c r="D21" i="3"/>
  <c r="C21" i="3"/>
  <c r="B21" i="3"/>
  <c r="A21" i="3"/>
  <c r="O20" i="3"/>
  <c r="M20" i="3"/>
  <c r="K20" i="3"/>
  <c r="E20" i="3"/>
  <c r="D20" i="3"/>
  <c r="C20" i="3"/>
  <c r="B20" i="3"/>
  <c r="A20" i="3"/>
  <c r="O19" i="3"/>
  <c r="M19" i="3"/>
  <c r="K19" i="3"/>
  <c r="J19" i="3"/>
  <c r="I19" i="3"/>
  <c r="H19" i="3"/>
  <c r="G19" i="3"/>
  <c r="F19" i="3"/>
  <c r="E19" i="3"/>
  <c r="D19" i="3"/>
  <c r="C19" i="3"/>
  <c r="B19" i="3"/>
  <c r="A19" i="3"/>
  <c r="O18" i="3"/>
  <c r="M18" i="3"/>
  <c r="K18" i="3"/>
  <c r="H18" i="3"/>
  <c r="E18" i="3"/>
  <c r="D18" i="3"/>
  <c r="C18" i="3"/>
  <c r="B18" i="3"/>
  <c r="A18" i="3"/>
  <c r="O17" i="3"/>
  <c r="M17" i="3"/>
  <c r="K17" i="3"/>
  <c r="I17" i="3"/>
  <c r="H17" i="3"/>
  <c r="F17" i="3"/>
  <c r="E17" i="3"/>
  <c r="D17" i="3"/>
  <c r="C17" i="3"/>
  <c r="B17" i="3"/>
  <c r="A17" i="3"/>
  <c r="O16" i="3"/>
  <c r="M16" i="3"/>
  <c r="K16" i="3"/>
  <c r="F16" i="3"/>
  <c r="E16" i="3"/>
  <c r="D16" i="3"/>
  <c r="C16" i="3"/>
  <c r="B16" i="3"/>
  <c r="A16" i="3"/>
  <c r="O15" i="3"/>
  <c r="M15" i="3"/>
  <c r="K15" i="3"/>
  <c r="F15" i="3"/>
  <c r="E15" i="3"/>
  <c r="D15" i="3"/>
  <c r="C15" i="3"/>
  <c r="B15" i="3"/>
  <c r="A15" i="3"/>
  <c r="O14" i="3"/>
  <c r="M14" i="3"/>
  <c r="K14" i="3"/>
  <c r="J14" i="3"/>
  <c r="I14" i="3"/>
  <c r="H14" i="3"/>
  <c r="G14" i="3"/>
  <c r="F14" i="3"/>
  <c r="E14" i="3"/>
  <c r="D14" i="3"/>
  <c r="C14" i="3"/>
  <c r="B14" i="3"/>
  <c r="A14" i="3"/>
  <c r="O13" i="3"/>
  <c r="M13" i="3"/>
  <c r="K13" i="3"/>
  <c r="F13" i="3"/>
  <c r="E13" i="3"/>
  <c r="D13" i="3"/>
  <c r="C13" i="3"/>
  <c r="B13" i="3"/>
  <c r="A13" i="3"/>
  <c r="O12" i="3"/>
  <c r="M12" i="3"/>
  <c r="K12" i="3"/>
  <c r="J12" i="3"/>
  <c r="I12" i="3"/>
  <c r="H12" i="3"/>
  <c r="G12" i="3"/>
  <c r="E12" i="3"/>
  <c r="D12" i="3"/>
  <c r="C12" i="3"/>
  <c r="B12" i="3"/>
  <c r="A12" i="3"/>
  <c r="O11" i="3"/>
  <c r="M11" i="3"/>
  <c r="K11" i="3"/>
  <c r="J11" i="3"/>
  <c r="I11" i="3"/>
  <c r="H11" i="3"/>
  <c r="G11" i="3"/>
  <c r="E11" i="3"/>
  <c r="D11" i="3"/>
  <c r="C11" i="3"/>
  <c r="B11" i="3"/>
  <c r="A11" i="3"/>
  <c r="O10" i="3"/>
  <c r="M10" i="3"/>
  <c r="K10" i="3"/>
  <c r="F10" i="3"/>
  <c r="E10" i="3"/>
  <c r="D10" i="3"/>
  <c r="C10" i="3"/>
  <c r="B10" i="3"/>
  <c r="A10" i="3"/>
  <c r="O9" i="3"/>
  <c r="M9" i="3"/>
  <c r="K9" i="3"/>
  <c r="H9" i="3"/>
  <c r="G9" i="3"/>
  <c r="E9" i="3"/>
  <c r="D9" i="3"/>
  <c r="C9" i="3"/>
  <c r="B9" i="3"/>
  <c r="A9" i="3"/>
  <c r="O8" i="3"/>
  <c r="M8" i="3"/>
  <c r="K8" i="3"/>
  <c r="J8" i="3"/>
  <c r="I8" i="3"/>
  <c r="H8" i="3"/>
  <c r="G8" i="3"/>
  <c r="E8" i="3"/>
  <c r="D8" i="3"/>
  <c r="C8" i="3"/>
  <c r="B8" i="3"/>
  <c r="A8" i="3"/>
  <c r="O7" i="3"/>
  <c r="M7" i="3"/>
  <c r="K7" i="3"/>
  <c r="H7" i="3"/>
  <c r="F7" i="3"/>
  <c r="E7" i="3"/>
  <c r="D7" i="3"/>
  <c r="C7" i="3"/>
  <c r="B7" i="3"/>
  <c r="A7" i="3"/>
  <c r="O6" i="3"/>
  <c r="M6" i="3"/>
  <c r="K6" i="3"/>
  <c r="J6" i="3"/>
  <c r="I6" i="3"/>
  <c r="H6" i="3"/>
  <c r="G6" i="3"/>
  <c r="E6" i="3"/>
  <c r="D6" i="3"/>
  <c r="C6" i="3"/>
  <c r="B6" i="3"/>
  <c r="A6" i="3"/>
  <c r="O5" i="3"/>
  <c r="M5" i="3"/>
  <c r="K5" i="3"/>
  <c r="E5" i="3"/>
  <c r="D5" i="3"/>
  <c r="C5" i="3"/>
  <c r="B5" i="3"/>
  <c r="A5" i="3"/>
  <c r="O4" i="3"/>
  <c r="M4" i="3"/>
  <c r="K4" i="3"/>
  <c r="H4" i="3"/>
  <c r="G4" i="3"/>
  <c r="E4" i="3"/>
  <c r="D4" i="3"/>
  <c r="C4" i="3"/>
  <c r="B4" i="3"/>
  <c r="A4" i="3"/>
  <c r="O3" i="3"/>
  <c r="M3" i="3"/>
  <c r="K3" i="3"/>
  <c r="I3" i="3"/>
  <c r="H3" i="3"/>
  <c r="G3" i="3"/>
  <c r="E3" i="3"/>
  <c r="D3" i="3"/>
  <c r="C3" i="3"/>
  <c r="B3" i="3"/>
  <c r="A3" i="3"/>
  <c r="O2" i="3"/>
  <c r="M2" i="3"/>
  <c r="K2" i="3"/>
  <c r="E2" i="3"/>
  <c r="D2" i="3"/>
  <c r="C2" i="3"/>
  <c r="B2" i="3"/>
  <c r="A2" i="3"/>
  <c r="O1" i="3"/>
  <c r="M1" i="3"/>
  <c r="K1" i="3"/>
  <c r="H1" i="3"/>
  <c r="G1" i="3"/>
  <c r="E1" i="3"/>
  <c r="D1" i="3"/>
  <c r="C1" i="3"/>
  <c r="B1" i="3"/>
  <c r="A1" i="3"/>
</calcChain>
</file>

<file path=xl/sharedStrings.xml><?xml version="1.0" encoding="utf-8"?>
<sst xmlns="http://schemas.openxmlformats.org/spreadsheetml/2006/main" count="674" uniqueCount="437">
  <si>
    <t>rafatz760@gmail.com</t>
  </si>
  <si>
    <t>Django</t>
  </si>
  <si>
    <t>None</t>
  </si>
  <si>
    <t>medoebrvhim@gmail.com</t>
  </si>
  <si>
    <t>CS</t>
  </si>
  <si>
    <t>salma010ashraf@gmail.com</t>
  </si>
  <si>
    <t>rm3323649@gmail.com</t>
  </si>
  <si>
    <t>.Net</t>
  </si>
  <si>
    <t>nabihsara8@gmail.com</t>
  </si>
  <si>
    <t>m7med.elshabrawy@gmail.com</t>
  </si>
  <si>
    <t>faresghandour718@gmail.com</t>
  </si>
  <si>
    <t>Laravel</t>
  </si>
  <si>
    <t>thm002752@gmail.com</t>
  </si>
  <si>
    <t>salemsayed442@gmail.com</t>
  </si>
  <si>
    <t>sheiko.elshenawy100@gmail.com</t>
  </si>
  <si>
    <t>am4883721@gmail.com</t>
  </si>
  <si>
    <t>me668813@gmail.com</t>
  </si>
  <si>
    <t>ezzatabdelrhman16@gmail.com</t>
  </si>
  <si>
    <t>abdoemad0120@gmail.com</t>
  </si>
  <si>
    <t>omarelhelaly520@gmail.com</t>
  </si>
  <si>
    <t>hanaanabilzedan@gmail.com</t>
  </si>
  <si>
    <t>amrmohamedp2005@gmail.com</t>
  </si>
  <si>
    <t>mustafaallithey@gmail.con</t>
  </si>
  <si>
    <t>amar.yasser.frag1230@gmail.com</t>
  </si>
  <si>
    <t>masterheaterheting@gmail.com</t>
  </si>
  <si>
    <t>mazinelhadidyy@gmail.com</t>
  </si>
  <si>
    <t>alhssiens947@gmail.com</t>
  </si>
  <si>
    <t>mohamecabdelaziz66@gmail.com</t>
  </si>
  <si>
    <t>mohamed01559400107@gmail.com</t>
  </si>
  <si>
    <t>aboodtawhed@gmail.com</t>
  </si>
  <si>
    <t>maryammmmmahmwd44@gmail.com</t>
  </si>
  <si>
    <t>stegen498@gmail.com</t>
  </si>
  <si>
    <t>faredamhmoodmkay1@gmail.com</t>
  </si>
  <si>
    <t>marmn1828@gmail.com</t>
  </si>
  <si>
    <t>rahmaalimoo@gmail.com</t>
  </si>
  <si>
    <t>esmaiel1962005@gmail.com</t>
  </si>
  <si>
    <t>omareldeeb365@gmail.com</t>
  </si>
  <si>
    <t>ooonhiimn@gmail.com</t>
  </si>
  <si>
    <t>tinaibrahim511@gmail.com</t>
  </si>
  <si>
    <t>rawanfawzy29@gmail.com</t>
  </si>
  <si>
    <t>yelsaharty@gmail.com</t>
  </si>
  <si>
    <t>aliaharb940@gmail.com</t>
  </si>
  <si>
    <t>gamalzeiad133@gmail.com</t>
  </si>
  <si>
    <t>khadijashahien@gmail.com</t>
  </si>
  <si>
    <t>shahdayman315315@gmail.com</t>
  </si>
  <si>
    <t>bassimstudy@gmail.com</t>
  </si>
  <si>
    <t>mo.eldeeb7878@gmail.com</t>
  </si>
  <si>
    <t>mm9360487@gmail.com</t>
  </si>
  <si>
    <t>alialaa4545454545@gmail.com</t>
  </si>
  <si>
    <t>mohamedelmesery2004@gmail.com</t>
  </si>
  <si>
    <t>youssefahmedelesawy@gmail.com</t>
  </si>
  <si>
    <t>ahmed9924as@gmail.com</t>
  </si>
  <si>
    <t>mm12456889@gmail.com</t>
  </si>
  <si>
    <t>rawanelshenawyy22@gmail.com</t>
  </si>
  <si>
    <t>menna2amin3@gmail.com</t>
  </si>
  <si>
    <t>omarabdelrhman81@gmail.com</t>
  </si>
  <si>
    <t>mohamedehabswe74@gmail.com</t>
  </si>
  <si>
    <t>engmenna743@gmail.com</t>
  </si>
  <si>
    <t>رضا سعد عطيه</t>
  </si>
  <si>
    <t>redasaad010260@gmail.com</t>
  </si>
  <si>
    <t>mahmoudmira0065@gmail.com</t>
  </si>
  <si>
    <t>mm3708951@icloud.com</t>
  </si>
  <si>
    <t xml:space="preserve">محمد مصطفي الموري </t>
  </si>
  <si>
    <t xml:space="preserve">اجاباته مختصرة اوي ف الداتا بيز فمحتاج ياخدها وكمان المسالة الفايل بتاعها فيه مشكلة </t>
  </si>
  <si>
    <t xml:space="preserve">محمد ابراهيم عبد الحميد </t>
  </si>
  <si>
    <t xml:space="preserve">مبدئيا كدا محتاج يتسال كويس جدا ف الداتا بيز </t>
  </si>
  <si>
    <t xml:space="preserve">سلمي اشرف </t>
  </si>
  <si>
    <t xml:space="preserve">عندها غلطات كتير ف ال ds وكمان محتاج تاخد ال os </t>
  </si>
  <si>
    <t xml:space="preserve">روان وائل محمد </t>
  </si>
  <si>
    <t>اجاباتها كويسة بس اسالها ف الداتا بيز بحيث نتاكد انها فاهمة اللي مكتوب ولا اي</t>
  </si>
  <si>
    <t xml:space="preserve">سارة نبيل </t>
  </si>
  <si>
    <t xml:space="preserve">اجاباتها كويسة جدا </t>
  </si>
  <si>
    <t xml:space="preserve">محمد محمد الشبراوي </t>
  </si>
  <si>
    <t xml:space="preserve">مبدئييا محتاج يدخل سيركل ال os والمشكلة انه عنده حوالي تلت غلطات ف ال ds فمش عارفة اي الصح ف الحالة دي </t>
  </si>
  <si>
    <t xml:space="preserve">محمد طه </t>
  </si>
  <si>
    <t xml:space="preserve">اجاباته كتير وكبيرة فالاغلب واخد حاجات كوبي فلازم يتسال ف ال networks , db </t>
  </si>
  <si>
    <t xml:space="preserve">احمد السيد سلام </t>
  </si>
  <si>
    <t xml:space="preserve">هو انترمتيد اجاباته كويسة بس لازم يتسال فيها لان ف انها باين انها كوبي </t>
  </si>
  <si>
    <t>معملش التاسك</t>
  </si>
  <si>
    <t>محمد علي محمود</t>
  </si>
  <si>
    <t>اولا هو مش واخد داتا بيز هو دور واجتهد ف انه يجاوب علي الاسئلة والمشكلة عنده غلطتيتن ف ال Ds</t>
  </si>
  <si>
    <t xml:space="preserve">محمد رافت </t>
  </si>
  <si>
    <t xml:space="preserve">هو تمام بس اجابات الداتا بيز كاتب كلام كتير يخليك تشك انه ناقله فاساله فيها كتير </t>
  </si>
  <si>
    <t xml:space="preserve">احمد جلوش </t>
  </si>
  <si>
    <t xml:space="preserve">هو انترمتيد ومجاوب السؤال الاخير غلط والداتا بيز باين جدا جدا انها كوبي </t>
  </si>
  <si>
    <t xml:space="preserve">محمد السيد عوض </t>
  </si>
  <si>
    <t xml:space="preserve">اجاباته كويسة جدا </t>
  </si>
  <si>
    <t xml:space="preserve">عبدالرحمن عزت </t>
  </si>
  <si>
    <t xml:space="preserve">مش جاوب علي حاجات كتير اوي </t>
  </si>
  <si>
    <t xml:space="preserve">عبالرحمن عماد اسامة </t>
  </si>
  <si>
    <t xml:space="preserve">محتاج انه يدخل سيركل ال cs عشان ال DB وعنده مشكلة ف ال Ds عنده حوالي تلت غلطات فمش عارفة مؤهل ولا لا </t>
  </si>
  <si>
    <t xml:space="preserve">عمر الهلالي </t>
  </si>
  <si>
    <t xml:space="preserve">اجاباته ف الداتا بيز بتقول انه حتاج انه يدخل السيركل ويتعلمها لانها باينه خالص انه كوبي بيست بس الباقي كويس وهو بيجينر فيخدها بالتوازي </t>
  </si>
  <si>
    <t xml:space="preserve">حنان نبيل </t>
  </si>
  <si>
    <t xml:space="preserve">هي عندها غلطات ف ال os وهي انترمتيد وغلطة ف ال ds </t>
  </si>
  <si>
    <t xml:space="preserve">رضا محمود </t>
  </si>
  <si>
    <t xml:space="preserve">اجاباته كويسة </t>
  </si>
  <si>
    <t xml:space="preserve">عمرو محمد </t>
  </si>
  <si>
    <t xml:space="preserve">اجاباته كويسة ومنظمة </t>
  </si>
  <si>
    <t xml:space="preserve">مصطفي عليثي </t>
  </si>
  <si>
    <t xml:space="preserve">اجاباته كويسة ولكن محتاج يدخل سيركل ال cs عشان ال os </t>
  </si>
  <si>
    <t xml:space="preserve">عمار ياسر </t>
  </si>
  <si>
    <t xml:space="preserve">اجاباته مختصرة اوي ف الداتا بيز وف حاجات مش واضحة ممكن تبقا تساله فيها بحيث نتاكد انه فاهم </t>
  </si>
  <si>
    <t xml:space="preserve">احمد عماد الدين </t>
  </si>
  <si>
    <t xml:space="preserve">اجاباته كويسة بس ف غلطتيتن ف ال Ds </t>
  </si>
  <si>
    <t xml:space="preserve">مازن الحديدي </t>
  </si>
  <si>
    <t xml:space="preserve">اجاباته ناقصة ومش مفهومة </t>
  </si>
  <si>
    <t xml:space="preserve">حسين مصطفي سعد سالم </t>
  </si>
  <si>
    <t>محمد عبد العزيز</t>
  </si>
  <si>
    <t xml:space="preserve">اجاباته كويسة ولكن عنده غلطة ف ال os وهو المفروض انترمتيد وكمان اخر سؤال ف التاسك حله غلط والبروجكت تمام </t>
  </si>
  <si>
    <t xml:space="preserve">عبدالرحمن يوسف </t>
  </si>
  <si>
    <t xml:space="preserve">اجاباته كويسة بس المسالة مش بتفتح عندي وع الاغلب المشكلة هنا من عندي هخلص تقييم وارجعله تاني </t>
  </si>
  <si>
    <t>مريم محمود</t>
  </si>
  <si>
    <t xml:space="preserve">اجاباتها كويسة </t>
  </si>
  <si>
    <t xml:space="preserve">احمد جمال </t>
  </si>
  <si>
    <t xml:space="preserve">اجاباته جميلة ومنظمة </t>
  </si>
  <si>
    <t>فريدة محمود</t>
  </si>
  <si>
    <t>محمد مصطفي</t>
  </si>
  <si>
    <t xml:space="preserve">اجاباته كويسة بس المسالة عاملي جدوب الضرب </t>
  </si>
  <si>
    <t>رحمة عبد العليم</t>
  </si>
  <si>
    <t xml:space="preserve">اجاباتها كويسة بس عندها غلطتين ف ال os مش عارفة كدا محتاجة تدخل السيركل ولا لا فاسالها فيها عشان نتاكد </t>
  </si>
  <si>
    <t xml:space="preserve">احمد ايمن اسماعيل </t>
  </si>
  <si>
    <t xml:space="preserve">اجاباته كويسة بي الفايل بتاع المسالة مش بيفتح عندي معرفش مشكلة من عنده ولا من عندي </t>
  </si>
  <si>
    <t xml:space="preserve">عمر محمد الديب </t>
  </si>
  <si>
    <t xml:space="preserve">ما شاء الله اجاباته جميلة ومنظمة </t>
  </si>
  <si>
    <t>مارتينا إبراهيم</t>
  </si>
  <si>
    <t>اجاباتها منظمة وكويسة بس عايزاك تسال كتير ف ال DB عشان بس نتاكد انها فاهمة الكلام دا ولا ناقلة وخلاص</t>
  </si>
  <si>
    <t xml:space="preserve">روان فوزي </t>
  </si>
  <si>
    <t xml:space="preserve">اجاباتها منظمة وجميلة ومفيش اخطاء ف ال os كمان </t>
  </si>
  <si>
    <t>يوسف السهرتي</t>
  </si>
  <si>
    <t xml:space="preserve">هو عايز يتعلم بجد لسه مخدش الداتا بيز وكلمني وقولتله ياخدها ف سيركل ال cs وباقي اجاباته كويسة واجاباته ف ال os كويسة بردو </t>
  </si>
  <si>
    <t xml:space="preserve">عالية حرب </t>
  </si>
  <si>
    <t>اجاباتها كويسة بس حاسه انها واخدها كوبي بيست فمكن بقا تشوف دا من خلال اسئلتك ليها ف الانترفيو وخصوصا الداتا بيز</t>
  </si>
  <si>
    <t xml:space="preserve">زياد جمال سعد </t>
  </si>
  <si>
    <t>اجاباته جميلة جدا جدا وباين عليه فاهم مش محتاج انترفيو بجد</t>
  </si>
  <si>
    <t xml:space="preserve">خديجة شاهين </t>
  </si>
  <si>
    <t xml:space="preserve">اجاباتها مختصرة وف اجابات ناقصة ممكن تبقا تتاكد هي محتاجة انها تاخد الداتا بيز من خلال اسئلتك ليها </t>
  </si>
  <si>
    <t xml:space="preserve">شهد ايمن </t>
  </si>
  <si>
    <t>كل اجاباتها كويسة جدا ف الداتا بيز بس مش غارفة ال normalization ممكن تقولها تبقا تذاكرها وبردو تتدخل ال os عندها غلطات بس مش كتير والفايل بتاع الكود فيه مشكلة</t>
  </si>
  <si>
    <t xml:space="preserve">باسم ايهاب </t>
  </si>
  <si>
    <t xml:space="preserve">كل الاجابات بتاعه كويسة ولكن فايل الكود رافعه غلط </t>
  </si>
  <si>
    <t xml:space="preserve">محمد احمد الديب </t>
  </si>
  <si>
    <t xml:space="preserve">كل الاجابات بتاعه كويسة بس محتاج ياخد ال os عنده غلطات كتيرة فيها </t>
  </si>
  <si>
    <t xml:space="preserve">مريم منصور </t>
  </si>
  <si>
    <t xml:space="preserve">مش مجاوبة اسئلة الداتا بيز كلها </t>
  </si>
  <si>
    <t>علي علاء</t>
  </si>
  <si>
    <t xml:space="preserve"> lمستخدم فانكشن جاهزة ف المسالة بتاع ال ps وبقيت اجاباته كويسة</t>
  </si>
  <si>
    <t xml:space="preserve">يوسف احمد الاسواي </t>
  </si>
  <si>
    <t xml:space="preserve">عنده غلطات كتير ف ال ds </t>
  </si>
  <si>
    <t xml:space="preserve">احمد اشرف السيد </t>
  </si>
  <si>
    <t xml:space="preserve">مبدئيا محتاج يدخل ال db اجاباته ف حاجات مختصرة وف حاجات مش عارفها تاني حاجة عنده غلطات كتير ف ال osمحتاج يدخل السيركل يتعلمها </t>
  </si>
  <si>
    <t xml:space="preserve">محمد مصطفي ابراهيم </t>
  </si>
  <si>
    <t xml:space="preserve">مبدئيا مش واخد داتا بيز تاني حاجة عنده غلطات كتير اوي ف ال ds </t>
  </si>
  <si>
    <t xml:space="preserve">روان سامح </t>
  </si>
  <si>
    <t xml:space="preserve">الكلام كوبي كوبي كوبي </t>
  </si>
  <si>
    <t xml:space="preserve">منه امين </t>
  </si>
  <si>
    <t xml:space="preserve">محتاجة تاخد networks وبردو باين في مشكلة ف الداتا بيز تحس ان الكلام هي مش فاهمه وكمان عندها شكلة ف ال os معرفش الوقت هيبقا كافي انها تاخد كل الحاجات دي ولا لا </t>
  </si>
  <si>
    <t xml:space="preserve">عمر عبدالرحمن </t>
  </si>
  <si>
    <t xml:space="preserve">اجاباته كويسة جدا ومفيش اخطاء ف اي حاجة </t>
  </si>
  <si>
    <t xml:space="preserve">محمد ايهاب </t>
  </si>
  <si>
    <t xml:space="preserve">اجاباته كويسة لكن هو لسه متعمقش ف الداتا بيز فمحتاج ياخدها بس هو سرش وجاوب كويس </t>
  </si>
  <si>
    <t xml:space="preserve">منه السيد </t>
  </si>
  <si>
    <t>اجاباتها ف الداتا بيز ناقصة محتاجة تاخدها عندها غلطات ف ال os وبردو عندها غلطات ف ال dsa</t>
  </si>
  <si>
    <t>اجاباته كويسة عنده غلطة ف ال os وهو مقد advanced وتبقا شوف التاسك بتاعه</t>
  </si>
  <si>
    <t xml:space="preserve">محمود احمد السيد </t>
  </si>
  <si>
    <t xml:space="preserve">اجاباته كويسة بس لازم يتسال ف الداتا بيز عشان نبقا متاكدين ان الكلام اللي مكتوب دا هو فاهمه  </t>
  </si>
  <si>
    <t xml:space="preserve">محمود مصطفي ابو العطا </t>
  </si>
  <si>
    <t xml:space="preserve">اجاباته كويسة بس اساسي يتسال ف ال networks لان الكلام مايل انه يكون كوبي وكمان محتاج يتسال ف الداتا بيز </t>
  </si>
  <si>
    <t>test@gmail.com</t>
  </si>
  <si>
    <t>Prep Year (Engineering students)</t>
  </si>
  <si>
    <t>3rd Year</t>
  </si>
  <si>
    <t>sehammohsen84@gmail.com</t>
  </si>
  <si>
    <t>lyhatm30@gmail.com</t>
  </si>
  <si>
    <t>2nd Year</t>
  </si>
  <si>
    <t>mohamedtaha32sdxs@gmail.com</t>
  </si>
  <si>
    <t>mazensaadbb@gmail.com</t>
  </si>
  <si>
    <t>1st Year</t>
  </si>
  <si>
    <t>lolerforyears.social@gmail.com</t>
  </si>
  <si>
    <t>waleedhanan81@gmail.com</t>
  </si>
  <si>
    <t>mohamedghp780@gmail.com</t>
  </si>
  <si>
    <t>youssefmansour5655@gmail.com</t>
  </si>
  <si>
    <t>emanmahmoud8200@gmail.com</t>
  </si>
  <si>
    <t>esraaeltohamii@outlook.com</t>
  </si>
  <si>
    <t>jj@gmail.com</t>
  </si>
  <si>
    <t>ssssss@gmail.com</t>
  </si>
  <si>
    <t>mrnjwy2@gmail.com</t>
  </si>
  <si>
    <t>YomaHosam@gmail.com</t>
  </si>
  <si>
    <t>omaralaa23231@gmail.com</t>
  </si>
  <si>
    <t>dohahussienborhamshadi@gmail.com</t>
  </si>
  <si>
    <t>mohamedelrahll9@gmail.com</t>
  </si>
  <si>
    <t>naemm2048@gmail.com</t>
  </si>
  <si>
    <t>ghanemk70@gmail.com</t>
  </si>
  <si>
    <t>4th Year</t>
  </si>
  <si>
    <t>manarelhabbal28@gmail.com</t>
  </si>
  <si>
    <t>momreda412@gmail.com</t>
  </si>
  <si>
    <t>elkadymohamed880@gmail.com</t>
  </si>
  <si>
    <t>gannaelkhen@gmail.com</t>
  </si>
  <si>
    <t>nh634148@gmail.com</t>
  </si>
  <si>
    <t>rahmaalimo1@gmail.com</t>
  </si>
  <si>
    <t>mnhj8364@gamil.com</t>
  </si>
  <si>
    <t>omniahossam528@gmail.com</t>
  </si>
  <si>
    <t>rodlv300@gmail.com</t>
  </si>
  <si>
    <t>samahsamyelsaied2005@gmail.com</t>
  </si>
  <si>
    <t>mohamedmahmoudfahmy714@gmail.com</t>
  </si>
  <si>
    <t>malakelgizawy@std.mans.edu.eg</t>
  </si>
  <si>
    <t>yomnaaly806@gmail.com</t>
  </si>
  <si>
    <t>mohamed01elshazly@gmail.com</t>
  </si>
  <si>
    <t>zfire3005@gmail.com</t>
  </si>
  <si>
    <t>yasminyasser602@gmail.com</t>
  </si>
  <si>
    <t>emansm002@gmail.com</t>
  </si>
  <si>
    <t>of94440@gmail.com</t>
  </si>
  <si>
    <t>yomnashrif@icloud.com</t>
  </si>
  <si>
    <t>rom032267@gmail.com</t>
  </si>
  <si>
    <t>n.k.t.g049@gmail.com</t>
  </si>
  <si>
    <t>dohamouhammed9@gmail.com</t>
  </si>
  <si>
    <t>hanidoaa533@gmail.com</t>
  </si>
  <si>
    <t>thunderstorm27782@gmail.com</t>
  </si>
  <si>
    <t>melmorsy171@gmail.com</t>
  </si>
  <si>
    <t>samayaseen39@gmail.com</t>
  </si>
  <si>
    <t>www.01096730847mohamed@gmail.com</t>
  </si>
  <si>
    <t>mahmoud.aymann50@gmail.com</t>
  </si>
  <si>
    <t>nadoshahelal@gmail.com</t>
  </si>
  <si>
    <t>medowaleed46@gmail.com</t>
  </si>
  <si>
    <t>malaksalamamohamed4@gmail.com</t>
  </si>
  <si>
    <t>yasmeenelmesiry812@gmail.com</t>
  </si>
  <si>
    <t>esraaebrahim387@gmail.com</t>
  </si>
  <si>
    <t>youssefsleem2343588@gmail.com</t>
  </si>
  <si>
    <t>nassraalaa@gmail.com</t>
  </si>
  <si>
    <t>romisaafetouh72@gmail.com</t>
  </si>
  <si>
    <t>youssefmohammed2093@gmail.com</t>
  </si>
  <si>
    <t>marwan.ebrahim.amin@gmail.com</t>
  </si>
  <si>
    <t>fmaaty@std.mans.edu.eg</t>
  </si>
  <si>
    <t>fareshe73@gmail.com</t>
  </si>
  <si>
    <t>yasminhussein270@gmail.com</t>
  </si>
  <si>
    <t>mshireen625@gmail.com</t>
  </si>
  <si>
    <t>naderyousra0@gmail.com</t>
  </si>
  <si>
    <t>noore6450@gmail.com</t>
  </si>
  <si>
    <t>mohamedelmenshawi@std.mans.edu.eg</t>
  </si>
  <si>
    <t>yassiengouda@gmail.com</t>
  </si>
  <si>
    <t>sherifrokia5@gmail.com</t>
  </si>
  <si>
    <t>m123m2222222@gmail.com</t>
  </si>
  <si>
    <t>rr9567024@gamil.com</t>
  </si>
  <si>
    <t>nagatelpastawesi@gamail.com</t>
  </si>
  <si>
    <t>mariamayman292003@gmail.com</t>
  </si>
  <si>
    <t>mennasarhan643@gmail.com</t>
  </si>
  <si>
    <t>mero.khalid.2006@gmail.com</t>
  </si>
  <si>
    <t>karimabuelmaati6@gmail.om</t>
  </si>
  <si>
    <t>omniay721@gmail.com</t>
  </si>
  <si>
    <t>omar.ayman.mans@gmail.com</t>
  </si>
  <si>
    <t>hamzanadersalah10@gmail.com</t>
  </si>
  <si>
    <t>emishabdallah@gmail.com</t>
  </si>
  <si>
    <t>mohamedmagdyrizk203@gmail.com</t>
  </si>
  <si>
    <t>noransabri3@gmail.com</t>
  </si>
  <si>
    <t>moatazebrahim09@gmail.com</t>
  </si>
  <si>
    <t>moyeay2004@gmail.com</t>
  </si>
  <si>
    <t>ranaaboda133@gmail.com</t>
  </si>
  <si>
    <t>helmyelbaz2004@gmail.com</t>
  </si>
  <si>
    <t>faresaboelnaser@gmail.com</t>
  </si>
  <si>
    <t>omarwanamin@gmail.com</t>
  </si>
  <si>
    <t>esraamhmd2712@gmail.com</t>
  </si>
  <si>
    <t>dr1943789@gmail.com</t>
  </si>
  <si>
    <t>mohamedehabSWE74@gmail.com</t>
  </si>
  <si>
    <t>zm737733@gmail.com</t>
  </si>
  <si>
    <t>mayarsaber74@gmail.com</t>
  </si>
  <si>
    <t>Mohamedelkholy2357@gmail.com</t>
  </si>
  <si>
    <t>melnegomy@gmail.com</t>
  </si>
  <si>
    <t>hagarmoh553@gmail.com</t>
  </si>
  <si>
    <t>dodoesam2010@gmail.com</t>
  </si>
  <si>
    <t>shamsmo195@gmail.com</t>
  </si>
  <si>
    <t>yammar4@yahoo.com</t>
  </si>
  <si>
    <t>khaledhegazy0120@gmail.com</t>
  </si>
  <si>
    <t>omarww959@gmail.com</t>
  </si>
  <si>
    <t>mennaayman124158@gmail.com</t>
  </si>
  <si>
    <t>dochabibatarek@gmail.com</t>
  </si>
  <si>
    <t>magedmenna864@gmail.com</t>
  </si>
  <si>
    <t>mennasheref1234@gmail.com</t>
  </si>
  <si>
    <t>mahmed99988mmm@gmail.com</t>
  </si>
  <si>
    <t>rahmaelnabarawy2@gmail.com</t>
  </si>
  <si>
    <t>olam81733@gmail.com</t>
  </si>
  <si>
    <t>hb862924@gmail.com</t>
  </si>
  <si>
    <t>manarabdelhadi08@gmail.com</t>
  </si>
  <si>
    <t>www.rozamohamed@gmail.com</t>
  </si>
  <si>
    <t>youssefmohamedelbasouny@gmail.com</t>
  </si>
  <si>
    <t>osamaanwar0009@gmail.com</t>
  </si>
  <si>
    <t>mostafamakram72@gmail.com</t>
  </si>
  <si>
    <t>menna_rashed@outlook.com</t>
  </si>
  <si>
    <t>mohamedel_jhany@icloud.com</t>
  </si>
  <si>
    <t>mustafaallithey@gmail.com</t>
  </si>
  <si>
    <t>yyahyayy8@gmail.com</t>
  </si>
  <si>
    <t>nourelsharkawy546@gmail.com</t>
  </si>
  <si>
    <t>maryamabdallah698@gmail.com</t>
  </si>
  <si>
    <t>esraakhafaga018@gmail.com</t>
  </si>
  <si>
    <t>janamohammed248@gmail.com</t>
  </si>
  <si>
    <t>faredambmoodmkay1@gmail.com</t>
  </si>
  <si>
    <t>youssefelazab43@gmail.com</t>
  </si>
  <si>
    <t>khaled00megahed@gmail.com</t>
  </si>
  <si>
    <t>hashemmenna829@gmail.com</t>
  </si>
  <si>
    <t>marimtaha422@gmail.com</t>
  </si>
  <si>
    <t>mariamyehiah456@gmail.com</t>
  </si>
  <si>
    <t>mohamedabdelghany856@gmail.com</t>
  </si>
  <si>
    <t>triza1923@gmail.com</t>
  </si>
  <si>
    <t>salmayasser1611@gmail.com</t>
  </si>
  <si>
    <t>khaled0elsayed1@gmail.com</t>
  </si>
  <si>
    <t>hosamelsayed334@gmail.com</t>
  </si>
  <si>
    <t>ziadgaweesh@gmail.com</t>
  </si>
  <si>
    <t>myrnanader4@gmail.com</t>
  </si>
  <si>
    <t>sf116170@gmail.com</t>
  </si>
  <si>
    <t>m7339852@gmail.com</t>
  </si>
  <si>
    <t>hatia1248@gmail.com</t>
  </si>
  <si>
    <t>mohmed.alshraky15@gmail.com</t>
  </si>
  <si>
    <t>samahazem47@gmail.com</t>
  </si>
  <si>
    <t>hossamshehata254@gmail.com</t>
  </si>
  <si>
    <t>rawdaeweda@gmail.com</t>
  </si>
  <si>
    <t>elramadyabdelraman@gmail.com</t>
  </si>
  <si>
    <t>mly57003@gmail.com</t>
  </si>
  <si>
    <t>mo7ammed.ja3far@gmail.com</t>
  </si>
  <si>
    <t>faroha.salama@yahoo.com</t>
  </si>
  <si>
    <t>salmaelkholy86@gmail.com</t>
  </si>
  <si>
    <t>mohamedmagdy990900@gmail.com</t>
  </si>
  <si>
    <t>magnonetelteb@gmail.com</t>
  </si>
  <si>
    <t>yasserelmorsy520@gmail.com</t>
  </si>
  <si>
    <t>kareemalaa162003@gmail.com</t>
  </si>
  <si>
    <t>loailoka62@gmail.com</t>
  </si>
  <si>
    <t>wewewe1551@gmail.com</t>
  </si>
  <si>
    <t>Ibrahimshabra11@gmail.com</t>
  </si>
  <si>
    <t>ezz36535@gmail.com</t>
  </si>
  <si>
    <t>samynoureldin@std.mans.edu.eg</t>
  </si>
  <si>
    <t>omniaeng@hotmail.com</t>
  </si>
  <si>
    <t>mohraeelgeorge10@gmail.com</t>
  </si>
  <si>
    <t>emangabr191@gmail.com</t>
  </si>
  <si>
    <t>yasminradwan79@gmail.com</t>
  </si>
  <si>
    <t>omarahmedhr2@gmail.com</t>
  </si>
  <si>
    <t>zmmohamad263@gmail.com</t>
  </si>
  <si>
    <t>mnader200444@gmail.com</t>
  </si>
  <si>
    <t>roody.khaled135@gmail.com</t>
  </si>
  <si>
    <t>yoousefyahia@gmail.com</t>
  </si>
  <si>
    <t>kareemosman288@gmail.con</t>
  </si>
  <si>
    <t>malakelgamily44@gmail.com</t>
  </si>
  <si>
    <t>nadaghazy920@gmail.com</t>
  </si>
  <si>
    <t>fthyalbyar@gmail.com</t>
  </si>
  <si>
    <t>ff7090015@gmail.com</t>
  </si>
  <si>
    <t>mohamed.samy00077@gmail.com</t>
  </si>
  <si>
    <t>malakelbannaaa111@gmail.com</t>
  </si>
  <si>
    <t>mohammedelatar60@gmail.com</t>
  </si>
  <si>
    <t>mariammmohsenm@gmail.com</t>
  </si>
  <si>
    <t>raniafarag211@gmail.com</t>
  </si>
  <si>
    <t>thm64227@gmail.com</t>
  </si>
  <si>
    <t>rofidaeljindy@gmail.com</t>
  </si>
  <si>
    <t>zeadmoklh@gmail.com</t>
  </si>
  <si>
    <t>mohamedabdouh@std.mans.edu.eg</t>
  </si>
  <si>
    <t>farsalrafy@gmail.com</t>
  </si>
  <si>
    <t>mariamazzam2005@gmail.com</t>
  </si>
  <si>
    <t>m7mdelmoo@gmail.com</t>
  </si>
  <si>
    <t>me2572006@gmail.com</t>
  </si>
  <si>
    <t>hemahassantheking@gmail.com</t>
  </si>
  <si>
    <t>farseldiip@gmail.com</t>
  </si>
  <si>
    <t>janaelshayb65@gmail.com</t>
  </si>
  <si>
    <t>madom1191@gmail.com</t>
  </si>
  <si>
    <t>hishammelnmr@gmail.com</t>
  </si>
  <si>
    <t>dynajwdh@gmail.com</t>
  </si>
  <si>
    <t>midoehab150@gmail.com</t>
  </si>
  <si>
    <t>zeyadbedair0@gmail.com</t>
  </si>
  <si>
    <t>mo223kle@gmail.com</t>
  </si>
  <si>
    <t>yfhjjkhgjkhcdh@gmail.com</t>
  </si>
  <si>
    <t>sohibkasem@gmail.com</t>
  </si>
  <si>
    <t>yasmeenalaaalden11@gmail.com</t>
  </si>
  <si>
    <t>yarasaleh905@gmail.com</t>
  </si>
  <si>
    <t>mohamedayman5576@gmail.com</t>
  </si>
  <si>
    <t>omarlokaum8@gmail.com</t>
  </si>
  <si>
    <t>salma.mostafa6578@gmail.com</t>
  </si>
  <si>
    <t>doniaebrahim610.com@gmail.com</t>
  </si>
  <si>
    <t>Mohanedfathy@gmail.com</t>
  </si>
  <si>
    <t>mohamed.eltohamy2005@gmail.com</t>
  </si>
  <si>
    <t>oa4093060@gmail.com</t>
  </si>
  <si>
    <t>shefoo309050@gmail.com</t>
  </si>
  <si>
    <t>fatimaibrahim9098@gmail.com</t>
  </si>
  <si>
    <t>osamafeteh46@gmail.com</t>
  </si>
  <si>
    <t>medo3del1310@gmail.com</t>
  </si>
  <si>
    <t>magdizeina120@gmail.com</t>
  </si>
  <si>
    <t>y.awad12102006@gmail.com</t>
  </si>
  <si>
    <t>ma0639766@gmail.com</t>
  </si>
  <si>
    <t>mohamedelkenany095@gmail.com</t>
  </si>
  <si>
    <t>mohamed1deif@gmail.com</t>
  </si>
  <si>
    <t>zm78429@gmail.com</t>
  </si>
  <si>
    <t>shahdsaad648@gmail.com</t>
  </si>
  <si>
    <t>mfhmy2065@gmail.com</t>
  </si>
  <si>
    <t>ranimnimamohsen@gmail.com</t>
  </si>
  <si>
    <t>osamaelbltagy710@gmail.com</t>
  </si>
  <si>
    <t>lamiaadibah8@gmail.com</t>
  </si>
  <si>
    <t>osamaghnam24@gmail.com</t>
  </si>
  <si>
    <t>kareemelshishtawy160@gmail.com</t>
  </si>
  <si>
    <t>sarhaanmohamed724@gmail.com</t>
  </si>
  <si>
    <t>ramy.md.881@gmail.com</t>
  </si>
  <si>
    <t>nouranelmahdy532004@gmail.com</t>
  </si>
  <si>
    <t>minnah.24.1.1@gmail.com</t>
  </si>
  <si>
    <t>layalayman333@gmail.com</t>
  </si>
  <si>
    <t>kholoudhisham85@gmail.com</t>
  </si>
  <si>
    <t>hassanelsharkha233@gmail.com</t>
  </si>
  <si>
    <t>gannag204@gmail.com</t>
  </si>
  <si>
    <t>rawanelsherbini66@gmail.com</t>
  </si>
  <si>
    <t>morgansaif8@gmail.com</t>
  </si>
  <si>
    <t>islamkhaledfouad1@gmail.com</t>
  </si>
  <si>
    <t>noraelsharkawy999@gmail.com</t>
  </si>
  <si>
    <t>sa1200295@gmail.com</t>
  </si>
  <si>
    <t>khaledahmedmossad@gmail.com</t>
  </si>
  <si>
    <t>sabrywaleedsw@gmail.com</t>
  </si>
  <si>
    <t>reemalsaid86@gmail.com</t>
  </si>
  <si>
    <t>Mohamedelkholi66@gmail.com</t>
  </si>
  <si>
    <t>youssef.elbrmbaly@gmail.com</t>
  </si>
  <si>
    <t>hanaaabdulkader18@gmail.com</t>
  </si>
  <si>
    <t>hgrahmd288@gmail.com</t>
  </si>
  <si>
    <t>mariamsaber5726@gmail.com</t>
  </si>
  <si>
    <t>medozahran02@gmail.com</t>
  </si>
  <si>
    <t>zebrahim519@gmail.com</t>
  </si>
  <si>
    <t>youssefelkhawas22@gmail.com</t>
  </si>
  <si>
    <t>mennaelmohamdy81@gmail.com</t>
  </si>
  <si>
    <t>youssefsamir12468@gmail.com</t>
  </si>
  <si>
    <t>elbasyoni123456@gmail.com</t>
  </si>
  <si>
    <t>farouksakr694@gmail.com</t>
  </si>
  <si>
    <t>emanashry256@gmail.com</t>
  </si>
  <si>
    <t>r01007424896@gmail.com</t>
  </si>
  <si>
    <t>saraatef396@gmail.com</t>
  </si>
  <si>
    <t>nadamomtaz2022@gmail.com</t>
  </si>
  <si>
    <t>muhamedmosad1@gmail.com</t>
  </si>
  <si>
    <t>mohamedasharfali2211@gmail.com</t>
  </si>
  <si>
    <t>mohamedamr2770@gmail.com</t>
  </si>
  <si>
    <t>rawan.rakha9@gmail.com</t>
  </si>
  <si>
    <t>sh777d000@gmail.com</t>
  </si>
  <si>
    <t>elbashaabdo541@gmail.com</t>
  </si>
  <si>
    <t>ranaarida4@gmail.com</t>
  </si>
  <si>
    <t>salmat935@gmail.com</t>
  </si>
  <si>
    <t>ffyj.dguhf467@gmail.com</t>
  </si>
  <si>
    <t>mostafayasser654@gmail.com</t>
  </si>
  <si>
    <t>eslamelzamkan685@gmail.com</t>
  </si>
  <si>
    <t>email</t>
  </si>
  <si>
    <t>subcircle</t>
  </si>
  <si>
    <t>Node.js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</si>
</sst>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rgb="FF000000"/>
      <name val="&quot;Google Sans Mono&quot;"/>
    </font>
    <font>
      <u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  <fill>
      <patternFill patternType="solid">
        <fgColor rgb="FF93C47D"/>
        <bgColor rgb="FF93C47D"/>
      </patternFill>
    </fill>
    <fill>
      <patternFill patternType="solid">
        <fgColor rgb="FF990000"/>
        <bgColor rgb="FF9900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2" fillId="7" borderId="0" xfId="0" applyFont="1" applyFill="1"/>
    <xf numFmtId="0" fontId="1" fillId="8" borderId="0" xfId="0" applyFont="1" applyFill="1"/>
    <xf numFmtId="0" fontId="2" fillId="2" borderId="0" xfId="0" applyFont="1" applyFill="1"/>
    <xf numFmtId="0" fontId="3" fillId="9" borderId="0" xfId="0" applyFont="1" applyFill="1" applyAlignment="1">
      <alignment horizontal="left"/>
    </xf>
    <xf numFmtId="0" fontId="4" fillId="0" borderId="0" xfId="0" applyFont="1"/>
  </cellXfs>
  <cellStyles count="1">
    <cellStyle name="Normal" xfId="0" builtinId="0"/>
  </cellStyles>
  <dxfs count="1">
    <dxf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scord.gg/c6ye48aj" TargetMode="External"/><Relationship Id="rId671" Type="http://schemas.openxmlformats.org/officeDocument/2006/relationships/hyperlink" Target="http://www.linkedin.com/in/sherif10" TargetMode="External"/><Relationship Id="rId769" Type="http://schemas.openxmlformats.org/officeDocument/2006/relationships/hyperlink" Target="https://github.com/YusifElsaharty" TargetMode="External"/><Relationship Id="rId21" Type="http://schemas.openxmlformats.org/officeDocument/2006/relationships/hyperlink" Target="https://x.com/HananWaleed__?t=MSWFxqHhv6vDP7qET4j0gA&amp;s=09" TargetMode="External"/><Relationship Id="rId324" Type="http://schemas.openxmlformats.org/officeDocument/2006/relationships/hyperlink" Target="https://web.facebook.com/profile.php?id=100007729814577" TargetMode="External"/><Relationship Id="rId531" Type="http://schemas.openxmlformats.org/officeDocument/2006/relationships/hyperlink" Target="https://www.behance.net/ibrahimelshabr" TargetMode="External"/><Relationship Id="rId629" Type="http://schemas.openxmlformats.org/officeDocument/2006/relationships/hyperlink" Target="https://x.com/Dina_Ibrahim23?t=zisJewjJwJFdnxNplvriTQ&amp;s=09" TargetMode="External"/><Relationship Id="rId170" Type="http://schemas.openxmlformats.org/officeDocument/2006/relationships/hyperlink" Target="https://www.facebook.com/profile.php?id=100009060334855&amp;mibextid=ZbWKwL" TargetMode="External"/><Relationship Id="rId268" Type="http://schemas.openxmlformats.org/officeDocument/2006/relationships/hyperlink" Target="https://www.facebook.com/profile.php?id=100013513477586&amp;mibextid=ZbWKwL" TargetMode="External"/><Relationship Id="rId475" Type="http://schemas.openxmlformats.org/officeDocument/2006/relationships/hyperlink" Target="https://www.facebook.com/share/1Eq2sifAxM/" TargetMode="External"/><Relationship Id="rId682" Type="http://schemas.openxmlformats.org/officeDocument/2006/relationships/hyperlink" Target="https://www.linkedin.com/in/mo7amed-el-kenany-b892b0288?utm_source=share&amp;utm_campaign=share_via&amp;utm_content=profile&amp;utm_medium=android_app" TargetMode="External"/><Relationship Id="rId32" Type="http://schemas.openxmlformats.org/officeDocument/2006/relationships/hyperlink" Target="https://github.com/EmanMahmud0" TargetMode="External"/><Relationship Id="rId128" Type="http://schemas.openxmlformats.org/officeDocument/2006/relationships/hyperlink" Target="https://www.facebook.com/fares.ghandour.3?mibextid=LQQJ4d" TargetMode="External"/><Relationship Id="rId335" Type="http://schemas.openxmlformats.org/officeDocument/2006/relationships/hyperlink" Target="http://www.linkedin.com/in/nada-essam-93b371320" TargetMode="External"/><Relationship Id="rId542" Type="http://schemas.openxmlformats.org/officeDocument/2006/relationships/hyperlink" Target="https://www.facebook.com/eman.gabr.7311?mibextid=ZbWKwL" TargetMode="External"/><Relationship Id="rId181" Type="http://schemas.openxmlformats.org/officeDocument/2006/relationships/hyperlink" Target="http://www.linkedin.com/in/mohamed-waleed-79b12224b" TargetMode="External"/><Relationship Id="rId402" Type="http://schemas.openxmlformats.org/officeDocument/2006/relationships/hyperlink" Target="https://www.behance.net/mennarashed3" TargetMode="External"/><Relationship Id="rId279" Type="http://schemas.openxmlformats.org/officeDocument/2006/relationships/hyperlink" Target="https://www.facebook.com/share/19YnMWpSiv/" TargetMode="External"/><Relationship Id="rId486" Type="http://schemas.openxmlformats.org/officeDocument/2006/relationships/hyperlink" Target="https://www.linkedin.com/in/salma-ashraf-273298320" TargetMode="External"/><Relationship Id="rId693" Type="http://schemas.openxmlformats.org/officeDocument/2006/relationships/hyperlink" Target="https://www.facebook.com/share/18nhhB6LXS/" TargetMode="External"/><Relationship Id="rId707" Type="http://schemas.openxmlformats.org/officeDocument/2006/relationships/hyperlink" Target="https://twitter.com/RModalal" TargetMode="External"/><Relationship Id="rId43" Type="http://schemas.openxmlformats.org/officeDocument/2006/relationships/hyperlink" Target="http://github.com/" TargetMode="External"/><Relationship Id="rId139" Type="http://schemas.openxmlformats.org/officeDocument/2006/relationships/hyperlink" Target="http://not.com/" TargetMode="External"/><Relationship Id="rId346" Type="http://schemas.openxmlformats.org/officeDocument/2006/relationships/hyperlink" Target="https://www.facebook.com/profile.php?id=100052577115537&amp;mibextid=rS40aB7S9Ucbxw6v" TargetMode="External"/><Relationship Id="rId553" Type="http://schemas.openxmlformats.org/officeDocument/2006/relationships/hyperlink" Target="https://github.com/Omar-A7med" TargetMode="External"/><Relationship Id="rId760" Type="http://schemas.openxmlformats.org/officeDocument/2006/relationships/hyperlink" Target="https://www.facebook.com/share/15ddZNDgEL/?mibextid=LQQJ4d" TargetMode="External"/><Relationship Id="rId192" Type="http://schemas.openxmlformats.org/officeDocument/2006/relationships/hyperlink" Target="https://www.linkedin.com/in/youssef-sleem-432b52297?utm_source=share&amp;utm_campaign=share_via&amp;utm_content=profile&amp;utm_medium=ios_app" TargetMode="External"/><Relationship Id="rId206" Type="http://schemas.openxmlformats.org/officeDocument/2006/relationships/hyperlink" Target="https://www.facebook.com/fares.maaty.1" TargetMode="External"/><Relationship Id="rId413" Type="http://schemas.openxmlformats.org/officeDocument/2006/relationships/hyperlink" Target="https://www.facebook.com/share/1EFr653UAg/" TargetMode="External"/><Relationship Id="rId497" Type="http://schemas.openxmlformats.org/officeDocument/2006/relationships/hyperlink" Target="https://discord.com/channels/@me/1292439273512894498" TargetMode="External"/><Relationship Id="rId620" Type="http://schemas.openxmlformats.org/officeDocument/2006/relationships/hyperlink" Target="https://www.facebook.com/NarutoXLoffy?mibextid=LQQJ4d" TargetMode="External"/><Relationship Id="rId718" Type="http://schemas.openxmlformats.org/officeDocument/2006/relationships/hyperlink" Target="https://www.facebook.com/hanaanabil.22?mibextid=ZbWKwL" TargetMode="External"/><Relationship Id="rId357" Type="http://schemas.openxmlformats.org/officeDocument/2006/relationships/hyperlink" Target="https://www.facebook.com/profile.php?id=61563413667227&amp;mibextid=ZbWKwL" TargetMode="External"/><Relationship Id="rId54" Type="http://schemas.openxmlformats.org/officeDocument/2006/relationships/hyperlink" Target="https://www.facebook.com/share/1BT4jW528k/" TargetMode="External"/><Relationship Id="rId217" Type="http://schemas.openxmlformats.org/officeDocument/2006/relationships/hyperlink" Target="https://www.facebook.com/shireen.mohamed.944?mibextid=JRoKGi" TargetMode="External"/><Relationship Id="rId564" Type="http://schemas.openxmlformats.org/officeDocument/2006/relationships/hyperlink" Target="https://github.com/yoousefyahia" TargetMode="External"/><Relationship Id="rId771" Type="http://schemas.openxmlformats.org/officeDocument/2006/relationships/hyperlink" Target="https://www.linkedin.com/in/ahmed-zahran-973825224?utm_source=share&amp;utm_campaign=share_via&amp;utm_content=profile&amp;utm_medium=android_app" TargetMode="External"/><Relationship Id="rId424" Type="http://schemas.openxmlformats.org/officeDocument/2006/relationships/hyperlink" Target="https://www.facebook.com/profile.php?id=100004946415208&amp;mibextid=LQQJ4d" TargetMode="External"/><Relationship Id="rId631" Type="http://schemas.openxmlformats.org/officeDocument/2006/relationships/hyperlink" Target="http://www.linkedin.com/in/mohamed-ehab-ba4523320" TargetMode="External"/><Relationship Id="rId729" Type="http://schemas.openxmlformats.org/officeDocument/2006/relationships/hyperlink" Target="https://www.facebook.com/share/19SdrSRHsL/" TargetMode="External"/><Relationship Id="rId270" Type="http://schemas.openxmlformats.org/officeDocument/2006/relationships/hyperlink" Target="https://github.com/Omar-Mans" TargetMode="External"/><Relationship Id="rId65" Type="http://schemas.openxmlformats.org/officeDocument/2006/relationships/hyperlink" Target="https://www.linkedin.com/in/mohamed-elrahl/" TargetMode="External"/><Relationship Id="rId130" Type="http://schemas.openxmlformats.org/officeDocument/2006/relationships/hyperlink" Target="https://github.com/Fares-7" TargetMode="External"/><Relationship Id="rId368" Type="http://schemas.openxmlformats.org/officeDocument/2006/relationships/hyperlink" Target="https://www.facebook.com/profile.php?id=100078637792247&amp;mibextid=LQQJ4d" TargetMode="External"/><Relationship Id="rId575" Type="http://schemas.openxmlformats.org/officeDocument/2006/relationships/hyperlink" Target="https://www.facebook.com/" TargetMode="External"/><Relationship Id="rId782" Type="http://schemas.openxmlformats.org/officeDocument/2006/relationships/hyperlink" Target="https://www.facebook.com/profile.php?id=61551217244817&amp;mibextid=ZbWKwL" TargetMode="External"/><Relationship Id="rId228" Type="http://schemas.openxmlformats.org/officeDocument/2006/relationships/hyperlink" Target="https://www.behance.net/nooressam6" TargetMode="External"/><Relationship Id="rId435" Type="http://schemas.openxmlformats.org/officeDocument/2006/relationships/hyperlink" Target="https://www.facebook.com/share/185b1LVCYu/" TargetMode="External"/><Relationship Id="rId642" Type="http://schemas.openxmlformats.org/officeDocument/2006/relationships/hyperlink" Target="https://eg.linkedin.com/in/%D8%A7%D8%AD%D9%85%D8%AF-%D8%B9%D8%A7%D8%AF%D9%84-10337833a" TargetMode="External"/><Relationship Id="rId281" Type="http://schemas.openxmlformats.org/officeDocument/2006/relationships/hyperlink" Target="https://github.com/MohamedMagdy-203" TargetMode="External"/><Relationship Id="rId502" Type="http://schemas.openxmlformats.org/officeDocument/2006/relationships/hyperlink" Target="https://x.com/SalmaElkho13292" TargetMode="External"/><Relationship Id="rId76" Type="http://schemas.openxmlformats.org/officeDocument/2006/relationships/hyperlink" Target="https://github.com/mariammahmwd/mariammahmwd" TargetMode="External"/><Relationship Id="rId141" Type="http://schemas.openxmlformats.org/officeDocument/2006/relationships/hyperlink" Target="https://www.facebook.com/profile.php?id=100063549968094&amp;mibextid=ZbWKwL" TargetMode="External"/><Relationship Id="rId379" Type="http://schemas.openxmlformats.org/officeDocument/2006/relationships/hyperlink" Target="https://www.linkedin.com/in/ola-mohamed-666968293" TargetMode="External"/><Relationship Id="rId586" Type="http://schemas.openxmlformats.org/officeDocument/2006/relationships/hyperlink" Target="https://discordapp.com/users/697974709253308417" TargetMode="External"/><Relationship Id="rId793" Type="http://schemas.openxmlformats.org/officeDocument/2006/relationships/hyperlink" Target="https://www.facebook.com/share/1Efc3QQNyE/" TargetMode="External"/><Relationship Id="rId807" Type="http://schemas.openxmlformats.org/officeDocument/2006/relationships/hyperlink" Target="https://www.behance.net/mohamedelzoghby5" TargetMode="External"/><Relationship Id="rId7" Type="http://schemas.openxmlformats.org/officeDocument/2006/relationships/hyperlink" Target="https://github.com/Seham-Mohsen-84" TargetMode="External"/><Relationship Id="rId239" Type="http://schemas.openxmlformats.org/officeDocument/2006/relationships/hyperlink" Target="https://www.facebook.com/profile.php?id=61558184180247" TargetMode="External"/><Relationship Id="rId446" Type="http://schemas.openxmlformats.org/officeDocument/2006/relationships/hyperlink" Target="https://github.com/kamranahmedse/developer-roadmap?tab=readme-ov-file" TargetMode="External"/><Relationship Id="rId653" Type="http://schemas.openxmlformats.org/officeDocument/2006/relationships/hyperlink" Target="https://www.facebook.com/omar.lokam.5?mibextid=ZbWKwL" TargetMode="External"/><Relationship Id="rId292" Type="http://schemas.openxmlformats.org/officeDocument/2006/relationships/hyperlink" Target="https://www.linkedin.com/in/rana-abdelrahman-" TargetMode="External"/><Relationship Id="rId306" Type="http://schemas.openxmlformats.org/officeDocument/2006/relationships/hyperlink" Target="https://www.linkedin.com/in/esraamhmd227/" TargetMode="External"/><Relationship Id="rId87" Type="http://schemas.openxmlformats.org/officeDocument/2006/relationships/hyperlink" Target="https://www.linkedin.com/in/mohammed--reda" TargetMode="External"/><Relationship Id="rId513" Type="http://schemas.openxmlformats.org/officeDocument/2006/relationships/hyperlink" Target="https://www.facebook.com/kareem.alaa.5055?mibextid=ZbWKwL" TargetMode="External"/><Relationship Id="rId597" Type="http://schemas.openxmlformats.org/officeDocument/2006/relationships/hyperlink" Target="https://discord.gg/MWTXy97W" TargetMode="External"/><Relationship Id="rId720" Type="http://schemas.openxmlformats.org/officeDocument/2006/relationships/hyperlink" Target="https://www.linkedin.com/in/hanaa-nabil-a52549252?utm_source=share&amp;utm_campaign=share_via&amp;utm_content=profile&amp;utm_medium=android_app" TargetMode="External"/><Relationship Id="rId818" Type="http://schemas.openxmlformats.org/officeDocument/2006/relationships/hyperlink" Target="https://www.facebook.com/profile.php?id=100010938374761&amp;mibextid=JRoKGi" TargetMode="External"/><Relationship Id="rId152" Type="http://schemas.openxmlformats.org/officeDocument/2006/relationships/hyperlink" Target="https://www.facebook.com/profile.php?id=100094600424082&amp;mibextid=ZbWKwL" TargetMode="External"/><Relationship Id="rId457" Type="http://schemas.openxmlformats.org/officeDocument/2006/relationships/hyperlink" Target="http://skwjd.com/" TargetMode="External"/><Relationship Id="rId664" Type="http://schemas.openxmlformats.org/officeDocument/2006/relationships/hyperlink" Target="https://m.facebook.com/profile.php?id=100009622057626" TargetMode="External"/><Relationship Id="rId14" Type="http://schemas.openxmlformats.org/officeDocument/2006/relationships/hyperlink" Target="https://www.linkedin.com/onboarding/start/open-to-job-opportunity/new/" TargetMode="External"/><Relationship Id="rId317" Type="http://schemas.openxmlformats.org/officeDocument/2006/relationships/hyperlink" Target="https://www.facebook.com/profile.php?id=100022101275827&amp;mibextid=ZbWKwL" TargetMode="External"/><Relationship Id="rId524" Type="http://schemas.openxmlformats.org/officeDocument/2006/relationships/hyperlink" Target="https://x.com/YousefM00344745" TargetMode="External"/><Relationship Id="rId731" Type="http://schemas.openxmlformats.org/officeDocument/2006/relationships/hyperlink" Target="https://www.facebook.com/share/19SdrSRHsL/" TargetMode="External"/><Relationship Id="rId98" Type="http://schemas.openxmlformats.org/officeDocument/2006/relationships/hyperlink" Target="https://www.linkedin.com/in/menna-gamal-9856bb293?utm_source=share&amp;utm_campaign=share_via&amp;utm_content=profile&amp;utm_medium=android_app" TargetMode="External"/><Relationship Id="rId163" Type="http://schemas.openxmlformats.org/officeDocument/2006/relationships/hyperlink" Target="https://github.com/yasminm0hamed/Git_raining" TargetMode="External"/><Relationship Id="rId370" Type="http://schemas.openxmlformats.org/officeDocument/2006/relationships/hyperlink" Target="https://x.com/shrief_mena?s=21" TargetMode="External"/><Relationship Id="rId829" Type="http://schemas.openxmlformats.org/officeDocument/2006/relationships/hyperlink" Target="https://linkedin.com/comm/mynetwork/discovery" TargetMode="External"/><Relationship Id="rId230" Type="http://schemas.openxmlformats.org/officeDocument/2006/relationships/hyperlink" Target="https://x.com/iiMenshawi" TargetMode="External"/><Relationship Id="rId468" Type="http://schemas.openxmlformats.org/officeDocument/2006/relationships/hyperlink" Target="https://www.linkedin.com/in/hosamdev" TargetMode="External"/><Relationship Id="rId675" Type="http://schemas.openxmlformats.org/officeDocument/2006/relationships/hyperlink" Target="https://www.linkedin.com/in/osama-mohammed-737582330/overlay/about-this-profile/?lipi=urn%3Ali%3Apage%3Ad_flagship3_profile_view_base%3Bn5%2F3DdM9TV%2BBSDxjvswAVw%3D%3D" TargetMode="External"/><Relationship Id="rId25" Type="http://schemas.openxmlformats.org/officeDocument/2006/relationships/hyperlink" Target="https://www.facebook.com/profile.php?id=100035448348057&amp;mibextid=LQQJ4d" TargetMode="External"/><Relationship Id="rId328" Type="http://schemas.openxmlformats.org/officeDocument/2006/relationships/hyperlink" Target="https://www.facebook.com/profile.php?id=100024984033394&amp;mibextid=ZbWKwL" TargetMode="External"/><Relationship Id="rId535" Type="http://schemas.openxmlformats.org/officeDocument/2006/relationships/hyperlink" Target="https://www.facebook.com/samy.omar.752?mibextid=ZbWKwL" TargetMode="External"/><Relationship Id="rId742" Type="http://schemas.openxmlformats.org/officeDocument/2006/relationships/hyperlink" Target="https://www.facebook.com/profile.php?id=100081159115284" TargetMode="External"/><Relationship Id="rId174" Type="http://schemas.openxmlformats.org/officeDocument/2006/relationships/hyperlink" Target="https://www.behance.net/mahmoudaymann" TargetMode="External"/><Relationship Id="rId381" Type="http://schemas.openxmlformats.org/officeDocument/2006/relationships/hyperlink" Target="https://www.linkedin.com/in/hassan-ebrahim-1b3a09264?utm_source=share&amp;utm_campaign=share_via&amp;utm_content=profile&amp;utm_medium=android_app" TargetMode="External"/><Relationship Id="rId602" Type="http://schemas.openxmlformats.org/officeDocument/2006/relationships/hyperlink" Target="https://www.linkedin.com/in/mohamed-amer-803016253?utm_source=share&amp;utm_campaign=share_via&amp;utm_content=profile&amp;utm_medium=android_app" TargetMode="External"/><Relationship Id="rId241" Type="http://schemas.openxmlformats.org/officeDocument/2006/relationships/hyperlink" Target="https://www.facebook.com/YassinnGouda/" TargetMode="External"/><Relationship Id="rId479" Type="http://schemas.openxmlformats.org/officeDocument/2006/relationships/hyperlink" Target="https://www.linkedin.com/in/hassan-3tia/?lipi=urn%3Ali%3Apage%3Ad_flagship3_profile_view_base%3BYGLjCGlXQsqZpJEk85kT8Q%3D%3D" TargetMode="External"/><Relationship Id="rId686" Type="http://schemas.openxmlformats.org/officeDocument/2006/relationships/hyperlink" Target="https://www.facebook.com/profile.php?id=61550007293460" TargetMode="External"/><Relationship Id="rId36" Type="http://schemas.openxmlformats.org/officeDocument/2006/relationships/hyperlink" Target="http://www.linkedin.com/in/esraaeltohamyy" TargetMode="External"/><Relationship Id="rId339" Type="http://schemas.openxmlformats.org/officeDocument/2006/relationships/hyperlink" Target="https://www.behance.net/shahdayman39" TargetMode="External"/><Relationship Id="rId546" Type="http://schemas.openxmlformats.org/officeDocument/2006/relationships/hyperlink" Target="https://www.behance.net/emangabr3" TargetMode="External"/><Relationship Id="rId753" Type="http://schemas.openxmlformats.org/officeDocument/2006/relationships/hyperlink" Target="https://www.linkedin.com/in/reemabdelraouf?lipi=urn%3Ali%3Apage%3Ad_flagship3_profile_view_base_contact_details%3BIPC2l%2FwkQXa60KXpQpa2Ug%3D%3D" TargetMode="External"/><Relationship Id="rId101" Type="http://schemas.openxmlformats.org/officeDocument/2006/relationships/hyperlink" Target="https://github.com/dija404" TargetMode="External"/><Relationship Id="rId185" Type="http://schemas.openxmlformats.org/officeDocument/2006/relationships/hyperlink" Target="https://www.facebook.com/zeiad.gamal.167" TargetMode="External"/><Relationship Id="rId406" Type="http://schemas.openxmlformats.org/officeDocument/2006/relationships/hyperlink" Target="https://www.linkedin.com/in/mustafa-allithey-6ba11a310?utm_source=share&amp;utm_campaign=share_via&amp;utm_content=profile&amp;utm_medium=ios_app" TargetMode="External"/><Relationship Id="rId392" Type="http://schemas.openxmlformats.org/officeDocument/2006/relationships/hyperlink" Target="https://github.com/youssef800900" TargetMode="External"/><Relationship Id="rId613" Type="http://schemas.openxmlformats.org/officeDocument/2006/relationships/hyperlink" Target="https://www.linkedin.com/in/fares-ekrame-150560300?utm_source=share&amp;utm_campaign=share_via&amp;utm_content=profile&amp;utm_medium=android_app" TargetMode="External"/><Relationship Id="rId697" Type="http://schemas.openxmlformats.org/officeDocument/2006/relationships/hyperlink" Target="https://www.facebook.com/kareem.elshishtawy.9?mibextid=ZbWKwL" TargetMode="External"/><Relationship Id="rId820" Type="http://schemas.openxmlformats.org/officeDocument/2006/relationships/hyperlink" Target="https://github.com/Mohamed-Zaabal" TargetMode="External"/><Relationship Id="rId252" Type="http://schemas.openxmlformats.org/officeDocument/2006/relationships/hyperlink" Target="https://www.facebook.com/profile.php?id=100094708448335" TargetMode="External"/><Relationship Id="rId47" Type="http://schemas.openxmlformats.org/officeDocument/2006/relationships/hyperlink" Target="https://www.facebook.com/profile.php?id=100034211852937&amp;mibextid=ZbWKwL" TargetMode="External"/><Relationship Id="rId112" Type="http://schemas.openxmlformats.org/officeDocument/2006/relationships/hyperlink" Target="https://www.facebook.com/malak.elgizawy.39?mibextid=ZbWKwL" TargetMode="External"/><Relationship Id="rId557" Type="http://schemas.openxmlformats.org/officeDocument/2006/relationships/hyperlink" Target="https://x.com/Mo_Nader_1?t=Bs9YOdDqGGASkbIgs9im3Q&amp;s=08" TargetMode="External"/><Relationship Id="rId764" Type="http://schemas.openxmlformats.org/officeDocument/2006/relationships/hyperlink" Target="https://www.facebook.com/profile.php?id=61563041369275&amp;mibextid=ZbWKwL" TargetMode="External"/><Relationship Id="rId196" Type="http://schemas.openxmlformats.org/officeDocument/2006/relationships/hyperlink" Target="https://www.linkedin.com/in/alaa-nasr-321387324?utm_source=share&amp;utm_campaign=share_via&amp;utm_content=profile&amp;utm_medium=android_app" TargetMode="External"/><Relationship Id="rId417" Type="http://schemas.openxmlformats.org/officeDocument/2006/relationships/hyperlink" Target="https://github.com/maryamabdallahhh" TargetMode="External"/><Relationship Id="rId624" Type="http://schemas.openxmlformats.org/officeDocument/2006/relationships/hyperlink" Target="https://www.facebook.com/profile.php?id=100006130201494&amp;mibextid=kFxxJD" TargetMode="External"/><Relationship Id="rId831" Type="http://schemas.openxmlformats.org/officeDocument/2006/relationships/hyperlink" Target="https://www.linkedin.com/in/mostafa-yasser-03a691327?utm_source=share&amp;utm_campaign=share_via&amp;utm_content=profile&amp;utm_medium=android_app" TargetMode="External"/><Relationship Id="rId263" Type="http://schemas.openxmlformats.org/officeDocument/2006/relationships/hyperlink" Target="https://www.linkedin.com/in/amr-khaled-b856092a3?utm_source=share&amp;utm_campaign=share_via&amp;utm_content=profile&amp;utm_medium=android_app" TargetMode="External"/><Relationship Id="rId470" Type="http://schemas.openxmlformats.org/officeDocument/2006/relationships/hyperlink" Target="https://x.com/GaweeshAA?t=S_qotfFC2nsdv7NXpWgIQA&amp;s=09" TargetMode="External"/><Relationship Id="rId58" Type="http://schemas.openxmlformats.org/officeDocument/2006/relationships/hyperlink" Target="https://github.com/Rahma-Hosam" TargetMode="External"/><Relationship Id="rId123" Type="http://schemas.openxmlformats.org/officeDocument/2006/relationships/hyperlink" Target="https://github.com/Z-Ash0" TargetMode="External"/><Relationship Id="rId330" Type="http://schemas.openxmlformats.org/officeDocument/2006/relationships/hyperlink" Target="https://www.facebook.com/profile.php?id=100024984033394&amp;mibextid=ZbWKwL" TargetMode="External"/><Relationship Id="rId568" Type="http://schemas.openxmlformats.org/officeDocument/2006/relationships/hyperlink" Target="https://www.facebook.com/p/Malak-Elgamily-100030976390267/?mibextid=LQQJ4d" TargetMode="External"/><Relationship Id="rId775" Type="http://schemas.openxmlformats.org/officeDocument/2006/relationships/hyperlink" Target="https://www.facebook.com/profile.php?id=100015385117279" TargetMode="External"/><Relationship Id="rId428" Type="http://schemas.openxmlformats.org/officeDocument/2006/relationships/hyperlink" Target="https://www.facebook.com/profile.php?id=100090361726968&amp;mibextid=ZbWKwL" TargetMode="External"/><Relationship Id="rId635" Type="http://schemas.openxmlformats.org/officeDocument/2006/relationships/hyperlink" Target="https://www.facebook.com/share/1AjkeYr2oc/?mibextid=qi2Omg" TargetMode="External"/><Relationship Id="rId274" Type="http://schemas.openxmlformats.org/officeDocument/2006/relationships/hyperlink" Target="https://www.facebook.com/profile.php?id=100009349824383&amp;mibextid=LQQJ4d" TargetMode="External"/><Relationship Id="rId481" Type="http://schemas.openxmlformats.org/officeDocument/2006/relationships/hyperlink" Target="https://www.facebook.com/profile.php?id=100077678634980&amp;mibextid=LQQJ4d" TargetMode="External"/><Relationship Id="rId702" Type="http://schemas.openxmlformats.org/officeDocument/2006/relationships/hyperlink" Target="https://github.com/ahmedsaloma" TargetMode="External"/><Relationship Id="rId69" Type="http://schemas.openxmlformats.org/officeDocument/2006/relationships/hyperlink" Target="https://www.linkedin.com/in/mariam-mansour-73a494330?utm_source=share&amp;utm_campaign=share_via&amp;utm_content=profile&amp;utm_medium=ios_app" TargetMode="External"/><Relationship Id="rId134" Type="http://schemas.openxmlformats.org/officeDocument/2006/relationships/hyperlink" Target="https://www.facebook.com/profile.php?id=61553626693990&amp;mibextid=LQQJ4d" TargetMode="External"/><Relationship Id="rId579" Type="http://schemas.openxmlformats.org/officeDocument/2006/relationships/hyperlink" Target="https://github.com/" TargetMode="External"/><Relationship Id="rId786" Type="http://schemas.openxmlformats.org/officeDocument/2006/relationships/hyperlink" Target="https://x.com/shada_basyonii" TargetMode="External"/><Relationship Id="rId341" Type="http://schemas.openxmlformats.org/officeDocument/2006/relationships/hyperlink" Target="https://www.linkedin.com/in/ter-stegen-b24324321" TargetMode="External"/><Relationship Id="rId439" Type="http://schemas.openxmlformats.org/officeDocument/2006/relationships/hyperlink" Target="https://x.com/abdou_menn70310?t=DD8F3iZIt1c1dhadeGIsGw&amp;s=09" TargetMode="External"/><Relationship Id="rId646" Type="http://schemas.openxmlformats.org/officeDocument/2006/relationships/hyperlink" Target="https://www.linkedin.com/in/yara-saleh-910504307?utm_source=share&amp;utm_campaign=share_via&amp;utm_content=profile&amp;utm_medium=android_app" TargetMode="External"/><Relationship Id="rId201" Type="http://schemas.openxmlformats.org/officeDocument/2006/relationships/hyperlink" Target="https://github.com/mogamal-ui" TargetMode="External"/><Relationship Id="rId285" Type="http://schemas.openxmlformats.org/officeDocument/2006/relationships/hyperlink" Target="https://www.linkedin.com/in/mouataz-saleh10/" TargetMode="External"/><Relationship Id="rId506" Type="http://schemas.openxmlformats.org/officeDocument/2006/relationships/hyperlink" Target="https://github.com/MohamedAbdelaziz177" TargetMode="External"/><Relationship Id="rId492" Type="http://schemas.openxmlformats.org/officeDocument/2006/relationships/hyperlink" Target="https://www.facebook.com/profile.php?id=100010529402835" TargetMode="External"/><Relationship Id="rId713" Type="http://schemas.openxmlformats.org/officeDocument/2006/relationships/hyperlink" Target="https://x.com/7rtvi?s=21" TargetMode="External"/><Relationship Id="rId797" Type="http://schemas.openxmlformats.org/officeDocument/2006/relationships/hyperlink" Target="https://github.com/nadamomtaz" TargetMode="External"/><Relationship Id="rId145" Type="http://schemas.openxmlformats.org/officeDocument/2006/relationships/hyperlink" Target="https://github.com/tahayahia" TargetMode="External"/><Relationship Id="rId352" Type="http://schemas.openxmlformats.org/officeDocument/2006/relationships/hyperlink" Target="https://www.facebook.com/profile.php?id=100017434952431&amp;mibextid=ZbWKwL" TargetMode="External"/><Relationship Id="rId212" Type="http://schemas.openxmlformats.org/officeDocument/2006/relationships/hyperlink" Target="https://www.facebook.com/yasmin.hussein.3745?mibextid=ZbWKwL" TargetMode="External"/><Relationship Id="rId657" Type="http://schemas.openxmlformats.org/officeDocument/2006/relationships/hyperlink" Target="http://www.none.com/" TargetMode="External"/><Relationship Id="rId296" Type="http://schemas.openxmlformats.org/officeDocument/2006/relationships/hyperlink" Target="http://www.linkedin.com/in/" TargetMode="External"/><Relationship Id="rId517" Type="http://schemas.openxmlformats.org/officeDocument/2006/relationships/hyperlink" Target="https://www.facebook.com/LoaiMohamed62/" TargetMode="External"/><Relationship Id="rId724" Type="http://schemas.openxmlformats.org/officeDocument/2006/relationships/hyperlink" Target="https://www.linkedin.com/in/gannah-elagamy-40433633a?utm_source=share&amp;utm_campaign=share_via&amp;utm_content=profile&amp;utm_medium=android_app" TargetMode="External"/><Relationship Id="rId60" Type="http://schemas.openxmlformats.org/officeDocument/2006/relationships/hyperlink" Target="https://www.facebook.com/profile.php?id=100072713473161" TargetMode="External"/><Relationship Id="rId156" Type="http://schemas.openxmlformats.org/officeDocument/2006/relationships/hyperlink" Target="https://www.facebook.com/share/v/Z8bWjgzjm3iN4mXK/" TargetMode="External"/><Relationship Id="rId363" Type="http://schemas.openxmlformats.org/officeDocument/2006/relationships/hyperlink" Target="https://discord.gg/Ks4Duf4s" TargetMode="External"/><Relationship Id="rId570" Type="http://schemas.openxmlformats.org/officeDocument/2006/relationships/hyperlink" Target="https://www.linkedin.com/in/malak-elgamily-aba865329?utm_source=share&amp;utm_campaign=share_via&amp;utm_content=profile&amp;utm_medium=ios_app" TargetMode="External"/><Relationship Id="rId223" Type="http://schemas.openxmlformats.org/officeDocument/2006/relationships/hyperlink" Target="https://www.behance.net/yousranader" TargetMode="External"/><Relationship Id="rId430" Type="http://schemas.openxmlformats.org/officeDocument/2006/relationships/hyperlink" Target="https://www.facebook.com/share/1BS7r5xXMB/" TargetMode="External"/><Relationship Id="rId668" Type="http://schemas.openxmlformats.org/officeDocument/2006/relationships/hyperlink" Target="https://github.com/OroZzZa" TargetMode="External"/><Relationship Id="rId18" Type="http://schemas.openxmlformats.org/officeDocument/2006/relationships/hyperlink" Target="https://discord.gg/eEqvTVUc" TargetMode="External"/><Relationship Id="rId528" Type="http://schemas.openxmlformats.org/officeDocument/2006/relationships/hyperlink" Target="https://x.com/ibrahimshabra11?t=W8WD4LjYHHNGt0e2DBnzvw&amp;s=09" TargetMode="External"/><Relationship Id="rId735" Type="http://schemas.openxmlformats.org/officeDocument/2006/relationships/hyperlink" Target="https://www.facebook.com/share/1CSqfAL4q4/" TargetMode="External"/><Relationship Id="rId167" Type="http://schemas.openxmlformats.org/officeDocument/2006/relationships/hyperlink" Target="https://www.facebook.com/profile.php?id=100009060334855&amp;mibextid=ZbWKwL" TargetMode="External"/><Relationship Id="rId374" Type="http://schemas.openxmlformats.org/officeDocument/2006/relationships/hyperlink" Target="https://www.facebook.com/profile.php?id=100046090037039&amp;mibextid=ZbWKwL" TargetMode="External"/><Relationship Id="rId581" Type="http://schemas.openxmlformats.org/officeDocument/2006/relationships/hyperlink" Target="https://www.facebook.com/fathy.elbyar?mibextid=ZbWKwL" TargetMode="External"/><Relationship Id="rId71" Type="http://schemas.openxmlformats.org/officeDocument/2006/relationships/hyperlink" Target="https://www.linkedin.com/in/mohamednaeem11/" TargetMode="External"/><Relationship Id="rId234" Type="http://schemas.openxmlformats.org/officeDocument/2006/relationships/hyperlink" Target="https://www.facebook.com/profile.php?viewas=100000686899395&amp;id=100008977024211" TargetMode="External"/><Relationship Id="rId679" Type="http://schemas.openxmlformats.org/officeDocument/2006/relationships/hyperlink" Target="https://discord.gg/gdPZyKTH" TargetMode="External"/><Relationship Id="rId802" Type="http://schemas.openxmlformats.org/officeDocument/2006/relationships/hyperlink" Target="http://www.linkedin.com/in/mohamed-asharf-53066625b" TargetMode="External"/><Relationship Id="rId2" Type="http://schemas.openxmlformats.org/officeDocument/2006/relationships/hyperlink" Target="http://www.cisteam.org/events/28/register" TargetMode="External"/><Relationship Id="rId29" Type="http://schemas.openxmlformats.org/officeDocument/2006/relationships/hyperlink" Target="https://www.facebook.com/share/19sgMJ4oTZ/" TargetMode="External"/><Relationship Id="rId441" Type="http://schemas.openxmlformats.org/officeDocument/2006/relationships/hyperlink" Target="https://www.linkedin.com/in/menna-abdou-7a2254339?utm_source=share&amp;utm_campaign=share_via&amp;utm_content=profile&amp;utm_medium=android_app" TargetMode="External"/><Relationship Id="rId539" Type="http://schemas.openxmlformats.org/officeDocument/2006/relationships/hyperlink" Target="https://github.com/omnia-hossam/desktop-tutorial.git" TargetMode="External"/><Relationship Id="rId746" Type="http://schemas.openxmlformats.org/officeDocument/2006/relationships/hyperlink" Target="https://discord.gg/ZD9sVYvz" TargetMode="External"/><Relationship Id="rId178" Type="http://schemas.openxmlformats.org/officeDocument/2006/relationships/hyperlink" Target="https://www.facebook.com/profile.php?id=100064978765314&amp;mibextid=ZbWKwL" TargetMode="External"/><Relationship Id="rId301" Type="http://schemas.openxmlformats.org/officeDocument/2006/relationships/hyperlink" Target="https://github.com/aboelnasrvip" TargetMode="External"/><Relationship Id="rId82" Type="http://schemas.openxmlformats.org/officeDocument/2006/relationships/hyperlink" Target="https://www.facebook.com/share/19YzHcXVG6/" TargetMode="External"/><Relationship Id="rId385" Type="http://schemas.openxmlformats.org/officeDocument/2006/relationships/hyperlink" Target="https://www.facebook.com/profile.php?id=61555144246324&amp;mibextid=ZbWKwL" TargetMode="External"/><Relationship Id="rId592" Type="http://schemas.openxmlformats.org/officeDocument/2006/relationships/hyperlink" Target="https://www.facebook.com/profile.php?id=100027982335383" TargetMode="External"/><Relationship Id="rId606" Type="http://schemas.openxmlformats.org/officeDocument/2006/relationships/hyperlink" Target="http://linkedin.com/in/mohamed-nagy-a9287231b" TargetMode="External"/><Relationship Id="rId813" Type="http://schemas.openxmlformats.org/officeDocument/2006/relationships/hyperlink" Target="https://www.facebook.com/profile.php?id=100008847009735&amp;mibextid=ZbWKwL" TargetMode="External"/><Relationship Id="rId245" Type="http://schemas.openxmlformats.org/officeDocument/2006/relationships/hyperlink" Target="https://www.behance.net/yassingouda" TargetMode="External"/><Relationship Id="rId452" Type="http://schemas.openxmlformats.org/officeDocument/2006/relationships/hyperlink" Target="https://discord.com/users/rawan" TargetMode="External"/><Relationship Id="rId105" Type="http://schemas.openxmlformats.org/officeDocument/2006/relationships/hyperlink" Target="https://www.facebook.com/samah.samy.961556" TargetMode="External"/><Relationship Id="rId312" Type="http://schemas.openxmlformats.org/officeDocument/2006/relationships/hyperlink" Target="https://github.com/MoEhab74" TargetMode="External"/><Relationship Id="rId757" Type="http://schemas.openxmlformats.org/officeDocument/2006/relationships/hyperlink" Target="https://www.linkedin.com/in/yossif-elbrmbaly/" TargetMode="External"/><Relationship Id="rId93" Type="http://schemas.openxmlformats.org/officeDocument/2006/relationships/hyperlink" Target="https://www.linkedin.com/in/noor-hussain-b483942b0?utm_source=share&amp;utm_campaign=share_via&amp;utm_content=profile&amp;utm_medium=android_app" TargetMode="External"/><Relationship Id="rId189" Type="http://schemas.openxmlformats.org/officeDocument/2006/relationships/hyperlink" Target="https://www.facebook.com/profile.php?id=61568331659242&amp;mibextid=ZbWKwL" TargetMode="External"/><Relationship Id="rId396" Type="http://schemas.openxmlformats.org/officeDocument/2006/relationships/hyperlink" Target="http://www.linkedin.com/in/mostafa-makram-a3a710322" TargetMode="External"/><Relationship Id="rId617" Type="http://schemas.openxmlformats.org/officeDocument/2006/relationships/hyperlink" Target="https://www.facebook.com/jana.elshayb.7" TargetMode="External"/><Relationship Id="rId824" Type="http://schemas.openxmlformats.org/officeDocument/2006/relationships/hyperlink" Target="https://www.facebook.com/profile.php?id=100046697760640" TargetMode="External"/><Relationship Id="rId256" Type="http://schemas.openxmlformats.org/officeDocument/2006/relationships/hyperlink" Target="https://www.facebook.com/mariam.ayman.92123/" TargetMode="External"/><Relationship Id="rId463" Type="http://schemas.openxmlformats.org/officeDocument/2006/relationships/hyperlink" Target="https://discord.gg/TNg9f7ZA" TargetMode="External"/><Relationship Id="rId670" Type="http://schemas.openxmlformats.org/officeDocument/2006/relationships/hyperlink" Target="https://www.facebook.com/she.rif.52687?mibextid=ZbWKwL" TargetMode="External"/><Relationship Id="rId116" Type="http://schemas.openxmlformats.org/officeDocument/2006/relationships/hyperlink" Target="https://www.facebook.com/yomnaa.alyy.01?mibextid=ZbWKwL" TargetMode="External"/><Relationship Id="rId323" Type="http://schemas.openxmlformats.org/officeDocument/2006/relationships/hyperlink" Target="https://www.linkedin.com/in/mayar-saber-0067aa332?utm_source=share&amp;utm_campaign=share_via&amp;utm_content=profile&amp;utm_medium=android_app" TargetMode="External"/><Relationship Id="rId530" Type="http://schemas.openxmlformats.org/officeDocument/2006/relationships/hyperlink" Target="https://github.com/Ibrahimelshabrawy" TargetMode="External"/><Relationship Id="rId768" Type="http://schemas.openxmlformats.org/officeDocument/2006/relationships/hyperlink" Target="https://www.linkedin.com/in/yousef-elsaharty-08489b2b0?utm_source=share&amp;utm_campaign=share_via&amp;utm_content=profile&amp;utm_medium=android_app" TargetMode="External"/><Relationship Id="rId20" Type="http://schemas.openxmlformats.org/officeDocument/2006/relationships/hyperlink" Target="https://www.facebook.com/share/1AS2K3jEet/" TargetMode="External"/><Relationship Id="rId628" Type="http://schemas.openxmlformats.org/officeDocument/2006/relationships/hyperlink" Target="https://x.com/Dina_Ibrahim23?t=sxEO1ddlbadmeUskMoAWzw&amp;s=09" TargetMode="External"/><Relationship Id="rId835" Type="http://schemas.openxmlformats.org/officeDocument/2006/relationships/hyperlink" Target="https://github.com/Eslamelzamkan" TargetMode="External"/><Relationship Id="rId267" Type="http://schemas.openxmlformats.org/officeDocument/2006/relationships/hyperlink" Target="https://www.linkedin.com/in/omnia-yasser-a022b9331?utm_source=share&amp;utm_campaign=share_via&amp;utm_content=profile&amp;utm_medium=android_app" TargetMode="External"/><Relationship Id="rId474" Type="http://schemas.openxmlformats.org/officeDocument/2006/relationships/hyperlink" Target="https://www.linkedin.com/in/myrna-nader-a3084a2b6?utm_source=share&amp;utm_campaign=share_via&amp;utm_content=profile&amp;utm_medium=android_app" TargetMode="External"/><Relationship Id="rId127" Type="http://schemas.openxmlformats.org/officeDocument/2006/relationships/hyperlink" Target="https://www.facebook.com/share/19kByATVTa/" TargetMode="External"/><Relationship Id="rId681" Type="http://schemas.openxmlformats.org/officeDocument/2006/relationships/hyperlink" Target="https://www.facebook.com/profile.php?id=100028404248383&amp;mibextid=ZbWKwL" TargetMode="External"/><Relationship Id="rId779" Type="http://schemas.openxmlformats.org/officeDocument/2006/relationships/hyperlink" Target="https://www.linkedin.com/in/menna-elmohamady-6185b833a?utm_source=share&amp;utm_campaign=share_via&amp;utm_content=profile&amp;utm_medium=android_app" TargetMode="External"/><Relationship Id="rId31" Type="http://schemas.openxmlformats.org/officeDocument/2006/relationships/hyperlink" Target="https://www.linkedin.com/in/eman-mahmoud-a053aa322?utm_source=share&amp;utm_campaign=share_via&amp;utm_content=profile&amp;utm_medium=android_app" TargetMode="External"/><Relationship Id="rId334" Type="http://schemas.openxmlformats.org/officeDocument/2006/relationships/hyperlink" Target="https://www.facebook.com/Nada.Esam.0?mibextid=ZbWKwL" TargetMode="External"/><Relationship Id="rId541" Type="http://schemas.openxmlformats.org/officeDocument/2006/relationships/hyperlink" Target="https://www.linkedin.com/in/mohraeel-george-418519302?utm_source=share&amp;utm_campaign=share_via&amp;utm_content=profile&amp;utm_medium=android_app" TargetMode="External"/><Relationship Id="rId639" Type="http://schemas.openxmlformats.org/officeDocument/2006/relationships/hyperlink" Target="https://www.behance.net/mostafaramadan51" TargetMode="External"/><Relationship Id="rId180" Type="http://schemas.openxmlformats.org/officeDocument/2006/relationships/hyperlink" Target="https://www.facebook.com/medowaleed15?locale=ar_AR" TargetMode="External"/><Relationship Id="rId278" Type="http://schemas.openxmlformats.org/officeDocument/2006/relationships/hyperlink" Target="https://behance.com/abdallahemish" TargetMode="External"/><Relationship Id="rId401" Type="http://schemas.openxmlformats.org/officeDocument/2006/relationships/hyperlink" Target="https://github.com/mennarashed01" TargetMode="External"/><Relationship Id="rId485" Type="http://schemas.openxmlformats.org/officeDocument/2006/relationships/hyperlink" Target="https://www.facebook.com/profile.php?id=100022527114123&amp;mibextid=ZbWKwL" TargetMode="External"/><Relationship Id="rId692" Type="http://schemas.openxmlformats.org/officeDocument/2006/relationships/hyperlink" Target="https://www.behance.net/mennaelsayed23" TargetMode="External"/><Relationship Id="rId706" Type="http://schemas.openxmlformats.org/officeDocument/2006/relationships/hyperlink" Target="https://github.com/ramymod" TargetMode="External"/><Relationship Id="rId42" Type="http://schemas.openxmlformats.org/officeDocument/2006/relationships/hyperlink" Target="http://linkedn.com/" TargetMode="External"/><Relationship Id="rId138" Type="http://schemas.openxmlformats.org/officeDocument/2006/relationships/hyperlink" Target="https://www.facebook.com/m.m.elshabrawy" TargetMode="External"/><Relationship Id="rId345" Type="http://schemas.openxmlformats.org/officeDocument/2006/relationships/hyperlink" Target="https://github.com/about" TargetMode="External"/><Relationship Id="rId552" Type="http://schemas.openxmlformats.org/officeDocument/2006/relationships/hyperlink" Target="https://www.linkedin.com/in/omar-ahmed-84304b326?utm_source=share&amp;utm_campaign=share_via&amp;utm_content=profile&amp;utm_medium=android_app" TargetMode="External"/><Relationship Id="rId191" Type="http://schemas.openxmlformats.org/officeDocument/2006/relationships/hyperlink" Target="https://x.com/Youssefsleem24" TargetMode="External"/><Relationship Id="rId205" Type="http://schemas.openxmlformats.org/officeDocument/2006/relationships/hyperlink" Target="https://www.facebook.com/profile.php?id=100007322474957" TargetMode="External"/><Relationship Id="rId412" Type="http://schemas.openxmlformats.org/officeDocument/2006/relationships/hyperlink" Target="http://aesaa.com/" TargetMode="External"/><Relationship Id="rId289" Type="http://schemas.openxmlformats.org/officeDocument/2006/relationships/hyperlink" Target="https://github.com/mohamedyehia990/mohamed.git" TargetMode="External"/><Relationship Id="rId496" Type="http://schemas.openxmlformats.org/officeDocument/2006/relationships/hyperlink" Target="https://www.facebook.com/yuossef.elessawy" TargetMode="External"/><Relationship Id="rId717" Type="http://schemas.openxmlformats.org/officeDocument/2006/relationships/hyperlink" Target="https://www.facebook.com/share/14ejAREq2C/?mibextid=LQQJ4d" TargetMode="External"/><Relationship Id="rId53" Type="http://schemas.openxmlformats.org/officeDocument/2006/relationships/hyperlink" Target="http://www.linkedin.com/in/rawan-fawzy-rf4" TargetMode="External"/><Relationship Id="rId149" Type="http://schemas.openxmlformats.org/officeDocument/2006/relationships/hyperlink" Target="https://github.com/Dohamouhammed" TargetMode="External"/><Relationship Id="rId356" Type="http://schemas.openxmlformats.org/officeDocument/2006/relationships/hyperlink" Target="https://github.com/RawanWaell" TargetMode="External"/><Relationship Id="rId563" Type="http://schemas.openxmlformats.org/officeDocument/2006/relationships/hyperlink" Target="https://www.linkedin.com/in/yousefyahia74?utm_source=share&amp;utm_campaign=share_via&amp;utm_content=profile&amp;utm_medium=android_app" TargetMode="External"/><Relationship Id="rId770" Type="http://schemas.openxmlformats.org/officeDocument/2006/relationships/hyperlink" Target="https://m.facebook.com/profile.php?id=100013105998071" TargetMode="External"/><Relationship Id="rId216" Type="http://schemas.openxmlformats.org/officeDocument/2006/relationships/hyperlink" Target="https://www.behance.net/yasminhussein9" TargetMode="External"/><Relationship Id="rId423" Type="http://schemas.openxmlformats.org/officeDocument/2006/relationships/hyperlink" Target="https://www.linkedin.com/me?trk=p_mwlite_feed-secondary_nav" TargetMode="External"/><Relationship Id="rId630" Type="http://schemas.openxmlformats.org/officeDocument/2006/relationships/hyperlink" Target="https://www.facebook.com/mohammed.ehab.583671?mibextid=ZbWKwL" TargetMode="External"/><Relationship Id="rId728" Type="http://schemas.openxmlformats.org/officeDocument/2006/relationships/hyperlink" Target="http://github.com/RawanEsmail19" TargetMode="External"/><Relationship Id="rId64" Type="http://schemas.openxmlformats.org/officeDocument/2006/relationships/hyperlink" Target="https://x.com/Mohamed_Elrahll?t=ffVyQ5H43JB_PXzyOAnjPw&amp;s=09" TargetMode="External"/><Relationship Id="rId367" Type="http://schemas.openxmlformats.org/officeDocument/2006/relationships/hyperlink" Target="https://bunch.party/pRLSNFQewQRNJXM89" TargetMode="External"/><Relationship Id="rId574" Type="http://schemas.openxmlformats.org/officeDocument/2006/relationships/hyperlink" Target="https://www.linkedin.com/in/nada-hassan-9645a1336?utm_source=share&amp;utm_campaign=share_via&amp;utm_content=profile&amp;utm_medium=ios_app" TargetMode="External"/><Relationship Id="rId227" Type="http://schemas.openxmlformats.org/officeDocument/2006/relationships/hyperlink" Target="https://github.com/Noor-cmd-star" TargetMode="External"/><Relationship Id="rId781" Type="http://schemas.openxmlformats.org/officeDocument/2006/relationships/hyperlink" Target="https://www.behance.net/zeinabmostafa9" TargetMode="External"/><Relationship Id="rId434" Type="http://schemas.openxmlformats.org/officeDocument/2006/relationships/hyperlink" Target="https://www.linkedin.com/in/reda-mahmoud-5b7454303?lipi=urn%3Ali%3Apage%3Ad_flagship3_profile_view_base_contact_details%3B4RNScX4WSAaHvI3EBDmBCg%3D%3D" TargetMode="External"/><Relationship Id="rId641" Type="http://schemas.openxmlformats.org/officeDocument/2006/relationships/hyperlink" Target="https://x.com/ahmdadl09651783?t=pADyQj7nzpNeljahgCKxJQ&amp;s=09" TargetMode="External"/><Relationship Id="rId739" Type="http://schemas.openxmlformats.org/officeDocument/2006/relationships/hyperlink" Target="https://x.com/eslamkhaled25?t=Qhe0UZ5vzQeuELjGZoCM7A&amp;s=09" TargetMode="External"/><Relationship Id="rId280" Type="http://schemas.openxmlformats.org/officeDocument/2006/relationships/hyperlink" Target="https://www.linkedin.com/in/mohamed-magdy-375715294?utm_source=share&amp;utm_campaign=share_via&amp;utm_content=profile&amp;utm_medium=android_app" TargetMode="External"/><Relationship Id="rId501" Type="http://schemas.openxmlformats.org/officeDocument/2006/relationships/hyperlink" Target="https://discord.gg/RU7vKS2e" TargetMode="External"/><Relationship Id="rId75" Type="http://schemas.openxmlformats.org/officeDocument/2006/relationships/hyperlink" Target="https://www.linkedin.com/in/mariam-mahmoud-4a4576325?utm_source=share&amp;utm_campaign=share_via&amp;utm_content=profile&amp;utm_medium=android_app" TargetMode="External"/><Relationship Id="rId140" Type="http://schemas.openxmlformats.org/officeDocument/2006/relationships/hyperlink" Target="https://www.linkedin.com/in/m7med-elshabrawy-9869482b6?utm_source=share&amp;utm_campaign=share_via&amp;utm_content=profile&amp;utm_medium=ios_app" TargetMode="External"/><Relationship Id="rId378" Type="http://schemas.openxmlformats.org/officeDocument/2006/relationships/hyperlink" Target="https://www.facebook.com/profile.php?id=100052327116987" TargetMode="External"/><Relationship Id="rId585" Type="http://schemas.openxmlformats.org/officeDocument/2006/relationships/hyperlink" Target="https://www.facebook.com/profile.php?id=100009707051135&amp;ref=xav_ig_profile_web" TargetMode="External"/><Relationship Id="rId792" Type="http://schemas.openxmlformats.org/officeDocument/2006/relationships/hyperlink" Target="https://www.linkedin.com/in/sara-atef-076131252?utm_source=share&amp;utm_campaign=share_via&amp;utm_content=profile&amp;utm_medium=android_app" TargetMode="External"/><Relationship Id="rId806" Type="http://schemas.openxmlformats.org/officeDocument/2006/relationships/hyperlink" Target="https://github.com/MoElzoghby" TargetMode="External"/><Relationship Id="rId6" Type="http://schemas.openxmlformats.org/officeDocument/2006/relationships/hyperlink" Target="http://www.linkedin.com/in/seham-mohsen-5662311b9" TargetMode="External"/><Relationship Id="rId238" Type="http://schemas.openxmlformats.org/officeDocument/2006/relationships/hyperlink" Target="https://www.behance.net/redesaad" TargetMode="External"/><Relationship Id="rId445" Type="http://schemas.openxmlformats.org/officeDocument/2006/relationships/hyperlink" Target="https://www.linkedin.com/in/mariam-taha-72a047294?utm_source=share&amp;utm_campaign=share_via&amp;utm_content=profile&amp;utm_medium=android_app" TargetMode="External"/><Relationship Id="rId652" Type="http://schemas.openxmlformats.org/officeDocument/2006/relationships/hyperlink" Target="https://www.behance.net/mohamedayman478" TargetMode="External"/><Relationship Id="rId291" Type="http://schemas.openxmlformats.org/officeDocument/2006/relationships/hyperlink" Target="https://discordapp.com/users/1173546523959754772" TargetMode="External"/><Relationship Id="rId305" Type="http://schemas.openxmlformats.org/officeDocument/2006/relationships/hyperlink" Target="https://x.com/esraamhmd_" TargetMode="External"/><Relationship Id="rId512" Type="http://schemas.openxmlformats.org/officeDocument/2006/relationships/hyperlink" Target="https://www.linkedin.com/in/ebrahim-yasser-567223337/?lipi=urn%3Ali%3Apage%3Ad_flagship3_profile_view_base%3BrhdTa%2BSBTgeu33iBsHlZGA%3D%3D" TargetMode="External"/><Relationship Id="rId86" Type="http://schemas.openxmlformats.org/officeDocument/2006/relationships/hyperlink" Target="https://www.facebook.com/mohamedreda.mohamed.921/" TargetMode="External"/><Relationship Id="rId151" Type="http://schemas.openxmlformats.org/officeDocument/2006/relationships/hyperlink" Target="https://www.facebook.com/profile.php?id=100094600424082&amp;mibextid=ZbWKwL" TargetMode="External"/><Relationship Id="rId389" Type="http://schemas.openxmlformats.org/officeDocument/2006/relationships/hyperlink" Target="https://www.facebook.com/profile.php?id=100077591564945&amp;sk=about" TargetMode="External"/><Relationship Id="rId596" Type="http://schemas.openxmlformats.org/officeDocument/2006/relationships/hyperlink" Target="https://www.facebook.com/profile.php?id=61563112269630&amp;mibextid=ZbWKwL" TargetMode="External"/><Relationship Id="rId817" Type="http://schemas.openxmlformats.org/officeDocument/2006/relationships/hyperlink" Target="https://www.behance.net/ranaarida" TargetMode="External"/><Relationship Id="rId249" Type="http://schemas.openxmlformats.org/officeDocument/2006/relationships/hyperlink" Target="https://x.com/saranabih187220" TargetMode="External"/><Relationship Id="rId456" Type="http://schemas.openxmlformats.org/officeDocument/2006/relationships/hyperlink" Target="http://skwjd.com/" TargetMode="External"/><Relationship Id="rId663" Type="http://schemas.openxmlformats.org/officeDocument/2006/relationships/hyperlink" Target="https://www.facebook.com/profile.php?id=100071969621080&amp;mibextid=ZbWKwL" TargetMode="External"/><Relationship Id="rId13" Type="http://schemas.openxmlformats.org/officeDocument/2006/relationships/hyperlink" Target="https://x.com/mazensa3d53?t=d2cgI07LwC6QsOCZ2rPJ0A&amp;s=09" TargetMode="External"/><Relationship Id="rId109" Type="http://schemas.openxmlformats.org/officeDocument/2006/relationships/hyperlink" Target="https://www.linkedin.com/in/mohamed-fahmy-784ba3331?utm_source=share&amp;utm_campaign=share_via&amp;utm_content=profile&amp;utm_medium=android_app" TargetMode="External"/><Relationship Id="rId316" Type="http://schemas.openxmlformats.org/officeDocument/2006/relationships/hyperlink" Target="https://github.com/Mohamedelmesery2004" TargetMode="External"/><Relationship Id="rId523" Type="http://schemas.openxmlformats.org/officeDocument/2006/relationships/hyperlink" Target="https://www.facebook.com/profile.php?id=100010739911830" TargetMode="External"/><Relationship Id="rId55" Type="http://schemas.openxmlformats.org/officeDocument/2006/relationships/hyperlink" Target="https://x.com/RahmaHosam15562?t=0xemaHjoxTc6cNmEfiYu0g&amp;s=35" TargetMode="External"/><Relationship Id="rId97" Type="http://schemas.openxmlformats.org/officeDocument/2006/relationships/hyperlink" Target="https://www.facebook.com/mena.gamal.927543?mibextid=ZbWKwL" TargetMode="External"/><Relationship Id="rId120" Type="http://schemas.openxmlformats.org/officeDocument/2006/relationships/hyperlink" Target="https://www.facebook.com/share/19HzgxDv7A/" TargetMode="External"/><Relationship Id="rId358" Type="http://schemas.openxmlformats.org/officeDocument/2006/relationships/hyperlink" Target="https://www.facebook.com/share/19can6oCtz/" TargetMode="External"/><Relationship Id="rId565" Type="http://schemas.openxmlformats.org/officeDocument/2006/relationships/hyperlink" Target="https://www.facebook.com/profile.php?id=100040488228934&amp;mibextid=LQQJ4d" TargetMode="External"/><Relationship Id="rId730" Type="http://schemas.openxmlformats.org/officeDocument/2006/relationships/hyperlink" Target="https://www.facebook.com/share/19SdrSRHsL/" TargetMode="External"/><Relationship Id="rId772" Type="http://schemas.openxmlformats.org/officeDocument/2006/relationships/hyperlink" Target="https://www.facebook.com/zuba.4.2?mibextid=ZbWKwL" TargetMode="External"/><Relationship Id="rId828" Type="http://schemas.openxmlformats.org/officeDocument/2006/relationships/hyperlink" Target="https://x.com/AsamhMhmd70281?t=IV7lsVdYxmZaCTvkOF3fKg&amp;s=09" TargetMode="External"/><Relationship Id="rId162" Type="http://schemas.openxmlformats.org/officeDocument/2006/relationships/hyperlink" Target="https://www.linkedin.com/in/yasmen-mohamed-041859323?utm_source=share&amp;utm_campaign=share_via&amp;utm_content=profile&amp;utm_medium=android_app" TargetMode="External"/><Relationship Id="rId218" Type="http://schemas.openxmlformats.org/officeDocument/2006/relationships/hyperlink" Target="https://support.discord.com/hc/en-us/community/topics" TargetMode="External"/><Relationship Id="rId425" Type="http://schemas.openxmlformats.org/officeDocument/2006/relationships/hyperlink" Target="https://x.com/fareda87238411/status/1718490698725343700?s=46&amp;t=7NEUuB-poe4vTIx8Tgzfxw" TargetMode="External"/><Relationship Id="rId467" Type="http://schemas.openxmlformats.org/officeDocument/2006/relationships/hyperlink" Target="https://www.facebook.com/hosamelsayed0" TargetMode="External"/><Relationship Id="rId632" Type="http://schemas.openxmlformats.org/officeDocument/2006/relationships/hyperlink" Target="https://github.com/mohamedehab150" TargetMode="External"/><Relationship Id="rId271" Type="http://schemas.openxmlformats.org/officeDocument/2006/relationships/hyperlink" Target="https://www.facebook.com/hamza.nader.7564?mibextid=LQQJ4d" TargetMode="External"/><Relationship Id="rId674" Type="http://schemas.openxmlformats.org/officeDocument/2006/relationships/hyperlink" Target="https://www.facebook.com/osama.feteh" TargetMode="External"/><Relationship Id="rId24" Type="http://schemas.openxmlformats.org/officeDocument/2006/relationships/hyperlink" Target="https://www.behance.net/hananwaleed2" TargetMode="External"/><Relationship Id="rId66" Type="http://schemas.openxmlformats.org/officeDocument/2006/relationships/hyperlink" Target="https://github.com/mohamedelrahl" TargetMode="External"/><Relationship Id="rId131" Type="http://schemas.openxmlformats.org/officeDocument/2006/relationships/hyperlink" Target="https://www.facebook.com/Griezmaannn" TargetMode="External"/><Relationship Id="rId327" Type="http://schemas.openxmlformats.org/officeDocument/2006/relationships/hyperlink" Target="https://www.facebook.com/share/17HuC6FAj3/" TargetMode="External"/><Relationship Id="rId369" Type="http://schemas.openxmlformats.org/officeDocument/2006/relationships/hyperlink" Target="https://discord.gg/afEVnFsF" TargetMode="External"/><Relationship Id="rId534" Type="http://schemas.openxmlformats.org/officeDocument/2006/relationships/hyperlink" Target="https://www.linkedin.com/in/mostafa-ezz-0971232ba?utm_source=share&amp;utm_campaign=share_via&amp;utm_content=profile&amp;utm_medium=android_app" TargetMode="External"/><Relationship Id="rId576" Type="http://schemas.openxmlformats.org/officeDocument/2006/relationships/hyperlink" Target="https://www.bing.com/ck/a?!&amp;&amp;p=ac5205759914d9a32e1e59893a55a4fe512b4d4ea9203b027e9a986c77fc7df6JmltdHM9MTczMjIzMzYwMA&amp;ptn=3&amp;ver=2&amp;hsh=4&amp;fclid=0ae15731-962d-663b-006f-42219797676b&amp;psq=discord&amp;u=a1aHR0cHM6Ly9kaXNjb3JkLmNvbS8&amp;ntb=1" TargetMode="External"/><Relationship Id="rId741" Type="http://schemas.openxmlformats.org/officeDocument/2006/relationships/hyperlink" Target="https://www.linkedin.com/in/nora-elsharkawy-3366b7328?utm_source=share&amp;utm_campaign=share_via&amp;utm_content=profile&amp;utm_medium=ios_app" TargetMode="External"/><Relationship Id="rId783" Type="http://schemas.openxmlformats.org/officeDocument/2006/relationships/hyperlink" Target="https://www.behance.net/d2cc3a53" TargetMode="External"/><Relationship Id="rId173" Type="http://schemas.openxmlformats.org/officeDocument/2006/relationships/hyperlink" Target="https://www.linkedin.com/in/mahmoud-ayman-7126482a2/" TargetMode="External"/><Relationship Id="rId229" Type="http://schemas.openxmlformats.org/officeDocument/2006/relationships/hyperlink" Target="https://www.facebook.com/IIMenshawz" TargetMode="External"/><Relationship Id="rId380" Type="http://schemas.openxmlformats.org/officeDocument/2006/relationships/hyperlink" Target="https://web.facebook.com/profile.php?id=100086733346796" TargetMode="External"/><Relationship Id="rId436" Type="http://schemas.openxmlformats.org/officeDocument/2006/relationships/hyperlink" Target="https://www.linkedin.com/in/omar-el-deeb-728b5525b?utm_source=share&amp;utm_campaign=share_via&amp;utm_content=profile&amp;utm_medium=android_app" TargetMode="External"/><Relationship Id="rId601" Type="http://schemas.openxmlformats.org/officeDocument/2006/relationships/hyperlink" Target="https://www.facebook.com/profile.php?id=100049079319506&amp;mibextid=ZbWKwL" TargetMode="External"/><Relationship Id="rId643" Type="http://schemas.openxmlformats.org/officeDocument/2006/relationships/hyperlink" Target="https://www.facebook.com/profile.php?id=100035278334460&amp;mibextid=ZbWKwL" TargetMode="External"/><Relationship Id="rId240" Type="http://schemas.openxmlformats.org/officeDocument/2006/relationships/hyperlink" Target="https://www.linkedin.com/in/mohamed-eldeeb-a24676293/" TargetMode="External"/><Relationship Id="rId478" Type="http://schemas.openxmlformats.org/officeDocument/2006/relationships/hyperlink" Target="https://www.facebook.com/hassan.atia.7773" TargetMode="External"/><Relationship Id="rId685" Type="http://schemas.openxmlformats.org/officeDocument/2006/relationships/hyperlink" Target="https://discord.gg/3mdTWQm8" TargetMode="External"/><Relationship Id="rId35" Type="http://schemas.openxmlformats.org/officeDocument/2006/relationships/hyperlink" Target="https://x.com/esraa_el_tohamy" TargetMode="External"/><Relationship Id="rId77" Type="http://schemas.openxmlformats.org/officeDocument/2006/relationships/hyperlink" Target="https://www.behance.net/mariammahmoud109" TargetMode="External"/><Relationship Id="rId100" Type="http://schemas.openxmlformats.org/officeDocument/2006/relationships/hyperlink" Target="https://www.linkedin.com/in/khadija-shahien-997581325?utm_source=share&amp;utm_campaign=share_via&amp;utm_content=profile&amp;utm_medium=android_app" TargetMode="External"/><Relationship Id="rId282" Type="http://schemas.openxmlformats.org/officeDocument/2006/relationships/hyperlink" Target="https://www.facebook.com/profile.php?id=100077430631214&amp;mibextid=ZbWKwL" TargetMode="External"/><Relationship Id="rId338" Type="http://schemas.openxmlformats.org/officeDocument/2006/relationships/hyperlink" Target="https://github.com/shahdayman315315" TargetMode="External"/><Relationship Id="rId503" Type="http://schemas.openxmlformats.org/officeDocument/2006/relationships/hyperlink" Target="https://www.linkedin.com/in/salma-elkholy-6319392a5?utm_source=share&amp;utm_campaign=share_via&amp;utm_content=profile&amp;utm_medium=android_app" TargetMode="External"/><Relationship Id="rId545" Type="http://schemas.openxmlformats.org/officeDocument/2006/relationships/hyperlink" Target="https://github.com/Eman-Gabr25" TargetMode="External"/><Relationship Id="rId587" Type="http://schemas.openxmlformats.org/officeDocument/2006/relationships/hyperlink" Target="https://l.facebook.com/l.php?u=https%3A%2F%2Ftwitter.com%2Felboor3y%3Ffbclid%3DIwZXh0bgNhZW0CMTAAAR2YwkfHKBFRs7N6kK9lReQcadx_Vm7Wf16b2KTcqB3StzYij4mL-boqFfY_aem_GBTSur1Ey8PudRv4g41Grg&amp;h=AT1Jc43i7xOnRymGl1YcOfazQ1u2l4mfDvK6bHFbfUJKDRocwMD9HzqUeloz9ifj0PL7RXbRkq9LVDC91F-Qa0YJrFHxZ0b4tKFn4ant2hbDdiE1DayYN_kOjkuu1NCmZoac" TargetMode="External"/><Relationship Id="rId710" Type="http://schemas.openxmlformats.org/officeDocument/2006/relationships/hyperlink" Target="http://www.linkedin.com/in/noran-samy-8bab28259" TargetMode="External"/><Relationship Id="rId752" Type="http://schemas.openxmlformats.org/officeDocument/2006/relationships/hyperlink" Target="https://www.facebook.com/profile.php?id=100009627530633&amp;mibextid=JRoKGi" TargetMode="External"/><Relationship Id="rId808" Type="http://schemas.openxmlformats.org/officeDocument/2006/relationships/hyperlink" Target="https://www.facebook.com/share/17md7Xi9e3/?mibextid=LQQJ4d" TargetMode="External"/><Relationship Id="rId8" Type="http://schemas.openxmlformats.org/officeDocument/2006/relationships/hyperlink" Target="https://www.facebook.com/profile.php?id=100016123633136&amp;mibextid=ZbWKwL" TargetMode="External"/><Relationship Id="rId142" Type="http://schemas.openxmlformats.org/officeDocument/2006/relationships/hyperlink" Target="https://www.linkedin.com/in/rewan-mostafa-39b125267?utm_source=share&amp;utm_campaign=share_via&amp;utm_content=profile&amp;utm_medium=android_app" TargetMode="External"/><Relationship Id="rId184" Type="http://schemas.openxmlformats.org/officeDocument/2006/relationships/hyperlink" Target="https://x.com/yvsmonvvvv?t=X0VBPYq6nZlzpHvSL1Go9g&amp;s=08" TargetMode="External"/><Relationship Id="rId391" Type="http://schemas.openxmlformats.org/officeDocument/2006/relationships/hyperlink" Target="https://www.linkedin.com/in/yousef-el-basuony-618423242?utm_source=share&amp;utm_campaign=share_via&amp;utm_content=profile&amp;utm_medium=android_app" TargetMode="External"/><Relationship Id="rId405" Type="http://schemas.openxmlformats.org/officeDocument/2006/relationships/hyperlink" Target="https://discord.gg/DYwUGJMp" TargetMode="External"/><Relationship Id="rId447" Type="http://schemas.openxmlformats.org/officeDocument/2006/relationships/hyperlink" Target="https://www.facebook.com/mariam.yehia.50115/?locale=ar_AR" TargetMode="External"/><Relationship Id="rId612" Type="http://schemas.openxmlformats.org/officeDocument/2006/relationships/hyperlink" Target="https://x.com/FARES7HA6NG?t=tDBBMa3VssLq_vD1lPCMgw&amp;s=09" TargetMode="External"/><Relationship Id="rId794" Type="http://schemas.openxmlformats.org/officeDocument/2006/relationships/hyperlink" Target="https://discord.gg/xHwcgEV7" TargetMode="External"/><Relationship Id="rId251" Type="http://schemas.openxmlformats.org/officeDocument/2006/relationships/hyperlink" Target="https://github.com/saraanbih" TargetMode="External"/><Relationship Id="rId489" Type="http://schemas.openxmlformats.org/officeDocument/2006/relationships/hyperlink" Target="https://eg.linkedin.com/in/abdelraman-elramady-56a040330" TargetMode="External"/><Relationship Id="rId654" Type="http://schemas.openxmlformats.org/officeDocument/2006/relationships/hyperlink" Target="https://discordapp.com/users/1309904912972255265" TargetMode="External"/><Relationship Id="rId696" Type="http://schemas.openxmlformats.org/officeDocument/2006/relationships/hyperlink" Target="https://www.facebook.com/osama.nabil.92317" TargetMode="External"/><Relationship Id="rId46" Type="http://schemas.openxmlformats.org/officeDocument/2006/relationships/hyperlink" Target="https://www.facebook.com/profile.php?id=100058357264284&amp;mibextid=ZbWKwL" TargetMode="External"/><Relationship Id="rId293" Type="http://schemas.openxmlformats.org/officeDocument/2006/relationships/hyperlink" Target="https://github.com/ranaabdelrahman71" TargetMode="External"/><Relationship Id="rId307" Type="http://schemas.openxmlformats.org/officeDocument/2006/relationships/hyperlink" Target="https://github.com/esraa277" TargetMode="External"/><Relationship Id="rId349" Type="http://schemas.openxmlformats.org/officeDocument/2006/relationships/hyperlink" Target="https://www.linkedin.com/in/ammar-yasser-a93684216/" TargetMode="External"/><Relationship Id="rId514" Type="http://schemas.openxmlformats.org/officeDocument/2006/relationships/hyperlink" Target="https://x.com/koks162003?t=G0AmRlQCDBdB1oyiYFGnOw&amp;s=09" TargetMode="External"/><Relationship Id="rId556" Type="http://schemas.openxmlformats.org/officeDocument/2006/relationships/hyperlink" Target="https://www.facebook.com/profile.php?id=100003506793150" TargetMode="External"/><Relationship Id="rId721" Type="http://schemas.openxmlformats.org/officeDocument/2006/relationships/hyperlink" Target="https://www.facebook.com/hassan.elsharkha?mibextid=ZbWKwL" TargetMode="External"/><Relationship Id="rId763" Type="http://schemas.openxmlformats.org/officeDocument/2006/relationships/hyperlink" Target="https://github.com/3nter-hgr" TargetMode="External"/><Relationship Id="rId88" Type="http://schemas.openxmlformats.org/officeDocument/2006/relationships/hyperlink" Target="https://github.com/M0hammed-Reda" TargetMode="External"/><Relationship Id="rId111" Type="http://schemas.openxmlformats.org/officeDocument/2006/relationships/hyperlink" Target="https://www.behance.net/mohamedfahmy78" TargetMode="External"/><Relationship Id="rId153" Type="http://schemas.openxmlformats.org/officeDocument/2006/relationships/hyperlink" Target="https://www.facebook.com/share/v/Z8bWjgzjm3iN4mXK/" TargetMode="External"/><Relationship Id="rId195" Type="http://schemas.openxmlformats.org/officeDocument/2006/relationships/hyperlink" Target="https://x.com/Alaa_nassr1?s=09" TargetMode="External"/><Relationship Id="rId209" Type="http://schemas.openxmlformats.org/officeDocument/2006/relationships/hyperlink" Target="https://www.facebook.com/profile.php?id=100013319706304" TargetMode="External"/><Relationship Id="rId360" Type="http://schemas.openxmlformats.org/officeDocument/2006/relationships/hyperlink" Target="https://www.linkedin.com/in/habiba-tarek-a54a16329?utm_source=share&amp;utm_campaign=share_via&amp;utm_content=profile&amp;utm_medium=android_app" TargetMode="External"/><Relationship Id="rId416" Type="http://schemas.openxmlformats.org/officeDocument/2006/relationships/hyperlink" Target="https://x.com/MaRyam3bdallahh" TargetMode="External"/><Relationship Id="rId598" Type="http://schemas.openxmlformats.org/officeDocument/2006/relationships/hyperlink" Target="https://www.linkedin.com/in/mohamed-saleh-3422362a5?utm_source=share&amp;utm_campaign=share_via&amp;utm_content=profile&amp;utm_medium=android_app" TargetMode="External"/><Relationship Id="rId819" Type="http://schemas.openxmlformats.org/officeDocument/2006/relationships/hyperlink" Target="https://www.linkedin.com/in/mohamed-medo-7a76a4316?utm_source=share&amp;utm_campaign=share_via&amp;utm_content=profile&amp;utm_medium=android_app" TargetMode="External"/><Relationship Id="rId220" Type="http://schemas.openxmlformats.org/officeDocument/2006/relationships/hyperlink" Target="https://x.com/NaderYousr23509?t=wxOciGaa6QZEjff7HCn8IA&amp;s=08" TargetMode="External"/><Relationship Id="rId458" Type="http://schemas.openxmlformats.org/officeDocument/2006/relationships/hyperlink" Target="http://skwjd.com/" TargetMode="External"/><Relationship Id="rId623" Type="http://schemas.openxmlformats.org/officeDocument/2006/relationships/hyperlink" Target="http://www.linkedin.com/in/hishamelnemr" TargetMode="External"/><Relationship Id="rId665" Type="http://schemas.openxmlformats.org/officeDocument/2006/relationships/hyperlink" Target="https://www.facebook.com/omarroza31?mibextid=ZbWKwL" TargetMode="External"/><Relationship Id="rId830" Type="http://schemas.openxmlformats.org/officeDocument/2006/relationships/hyperlink" Target="https://www.facebook.com/profile.php?id=61559612487374" TargetMode="External"/><Relationship Id="rId15" Type="http://schemas.openxmlformats.org/officeDocument/2006/relationships/hyperlink" Target="https://github.com/mazin53" TargetMode="External"/><Relationship Id="rId57" Type="http://schemas.openxmlformats.org/officeDocument/2006/relationships/hyperlink" Target="https://github.com/Rahma-Hosam" TargetMode="External"/><Relationship Id="rId262" Type="http://schemas.openxmlformats.org/officeDocument/2006/relationships/hyperlink" Target="https://www.facebook.com/profile.php?id=100033554140435&amp;mibextid=ZbWKwL" TargetMode="External"/><Relationship Id="rId318" Type="http://schemas.openxmlformats.org/officeDocument/2006/relationships/hyperlink" Target="https://x.com/AbdZeyad44593?t=xG0U2YNy1c0BNZMj9hh83Q&amp;s=09" TargetMode="External"/><Relationship Id="rId525" Type="http://schemas.openxmlformats.org/officeDocument/2006/relationships/hyperlink" Target="https://www.linkedin.com/in/yousef-mohamed-110b92319?utm_source=share&amp;utm_campaign=share_via&amp;utm_content=profile&amp;utm_medium=android_app" TargetMode="External"/><Relationship Id="rId567" Type="http://schemas.openxmlformats.org/officeDocument/2006/relationships/hyperlink" Target="https://www.linkedin.com/in/kareem-alaaa-47430a2b8?utm_source=share&amp;utm_campaign=share_via&amp;utm_content=profile&amp;utm_medium=ios_app" TargetMode="External"/><Relationship Id="rId732" Type="http://schemas.openxmlformats.org/officeDocument/2006/relationships/hyperlink" Target="https://www.facebook.com/share/19SdrSRHsL/" TargetMode="External"/><Relationship Id="rId99" Type="http://schemas.openxmlformats.org/officeDocument/2006/relationships/hyperlink" Target="https://www.facebook.com/profile.php?id=100073407006447&amp;mibextid=kFxxJD" TargetMode="External"/><Relationship Id="rId122" Type="http://schemas.openxmlformats.org/officeDocument/2006/relationships/hyperlink" Target="https://www.linkedin.com/in/z-ash/" TargetMode="External"/><Relationship Id="rId164" Type="http://schemas.openxmlformats.org/officeDocument/2006/relationships/hyperlink" Target="https://www.facebook.com/sama.yaseen.167?mibextid=ZbWKwL" TargetMode="External"/><Relationship Id="rId371" Type="http://schemas.openxmlformats.org/officeDocument/2006/relationships/hyperlink" Target="https://www.linkedin.com/in/mena-sheref-40aa142b6?utm_source=share&amp;utm_campaign=share_via&amp;utm_content=profile&amp;utm_medium=ios_app" TargetMode="External"/><Relationship Id="rId774" Type="http://schemas.openxmlformats.org/officeDocument/2006/relationships/hyperlink" Target="https://www.linkedin.com/in/zeinabebrahim?utm_source=share&amp;utm_campaign=share_via&amp;utm_content=profile&amp;utm_medium=android_app" TargetMode="External"/><Relationship Id="rId427" Type="http://schemas.openxmlformats.org/officeDocument/2006/relationships/hyperlink" Target="https://github.com/FaridaAlmekkawi" TargetMode="External"/><Relationship Id="rId469" Type="http://schemas.openxmlformats.org/officeDocument/2006/relationships/hyperlink" Target="https://www.facebook.com/profile.php?id=100050074596931" TargetMode="External"/><Relationship Id="rId634" Type="http://schemas.openxmlformats.org/officeDocument/2006/relationships/hyperlink" Target="https://www.linkedin.com/in/zeyad-bedair-87ba69308?utm_source=share&amp;utm_campaign=share_via&amp;utm_content=profile&amp;utm_medium=android_app" TargetMode="External"/><Relationship Id="rId676" Type="http://schemas.openxmlformats.org/officeDocument/2006/relationships/hyperlink" Target="https://www.facebook.com/share/18KzNA2igr/?mibextid=qi2Omg" TargetMode="External"/><Relationship Id="rId26" Type="http://schemas.openxmlformats.org/officeDocument/2006/relationships/hyperlink" Target="https://x.com/Mohamed15100746" TargetMode="External"/><Relationship Id="rId231" Type="http://schemas.openxmlformats.org/officeDocument/2006/relationships/hyperlink" Target="https://www.linkedin.com/in/mohamed-el-menshawi-6b2a2928b/" TargetMode="External"/><Relationship Id="rId273" Type="http://schemas.openxmlformats.org/officeDocument/2006/relationships/hyperlink" Target="http://www.linkedin.com/in/hamza-nader-428483337" TargetMode="External"/><Relationship Id="rId329" Type="http://schemas.openxmlformats.org/officeDocument/2006/relationships/hyperlink" Target="https://www.facebook.com/profile.php?id=100024984033394&amp;mibextid=ZbWKwL" TargetMode="External"/><Relationship Id="rId480" Type="http://schemas.openxmlformats.org/officeDocument/2006/relationships/hyperlink" Target="https://www.facebook.com/profile.php?id=100018007389854" TargetMode="External"/><Relationship Id="rId536" Type="http://schemas.openxmlformats.org/officeDocument/2006/relationships/hyperlink" Target="https://www.linkedin.com/in/samy-omar-23206a295?lipi=urn%3Ali%3Apage%3Ad_flagship3_" TargetMode="External"/><Relationship Id="rId701" Type="http://schemas.openxmlformats.org/officeDocument/2006/relationships/hyperlink" Target="http://linkedin.com/in/ahmed-salem-6ab8a12a3" TargetMode="External"/><Relationship Id="rId68" Type="http://schemas.openxmlformats.org/officeDocument/2006/relationships/hyperlink" Target="https://x.com/mariamm7m?s=21" TargetMode="External"/><Relationship Id="rId133" Type="http://schemas.openxmlformats.org/officeDocument/2006/relationships/hyperlink" Target="https://github.com/omarfathy7" TargetMode="External"/><Relationship Id="rId175" Type="http://schemas.openxmlformats.org/officeDocument/2006/relationships/hyperlink" Target="https://www.facebook.com/menna.amin.9256?mibextid=ZbWKwL" TargetMode="External"/><Relationship Id="rId340" Type="http://schemas.openxmlformats.org/officeDocument/2006/relationships/hyperlink" Target="https://www.facebook.com/share/1AaA2K3zES/" TargetMode="External"/><Relationship Id="rId578" Type="http://schemas.openxmlformats.org/officeDocument/2006/relationships/hyperlink" Target="https://www.linkedin.com/in/omar-abdalallh-46a55a2b7/?lipi=urn%3Ali%3Apage%3Ad_flagship3_feed%3BiG%2BRMAZqShmAhangtIyRzQ%3D%3D" TargetMode="External"/><Relationship Id="rId743" Type="http://schemas.openxmlformats.org/officeDocument/2006/relationships/hyperlink" Target="http://www.linkedin.com/in/shahd-alaa-029ba62a4" TargetMode="External"/><Relationship Id="rId785" Type="http://schemas.openxmlformats.org/officeDocument/2006/relationships/hyperlink" Target="https://www.facebook.com/profile.php?id=61568234062318&amp;mibextid=ZbWKwL" TargetMode="External"/><Relationship Id="rId200" Type="http://schemas.openxmlformats.org/officeDocument/2006/relationships/hyperlink" Target="https://www.linkedin.com/in/%D0%BC%CF%83%D0%BD%CE%B1%D0%BC%D1%94%C9%92-%C9%A2%CE%B1%D0%BC%CE%B1l-a3355731b/overlay/about-this-profile/?lipi=urn%3Ali%3Apage%3Ad_flagship3_profile_view_base%3BdWGQCnViQpS%2FEhAWyv9JVA%3D%3D" TargetMode="External"/><Relationship Id="rId382" Type="http://schemas.openxmlformats.org/officeDocument/2006/relationships/hyperlink" Target="https://github.com/Hassanlbrhim" TargetMode="External"/><Relationship Id="rId438" Type="http://schemas.openxmlformats.org/officeDocument/2006/relationships/hyperlink" Target="https://discord.gg/rt2n5swV" TargetMode="External"/><Relationship Id="rId603" Type="http://schemas.openxmlformats.org/officeDocument/2006/relationships/hyperlink" Target="https://www.facebook.com/fares.husain.7?mibextid=ZbWKwL" TargetMode="External"/><Relationship Id="rId645" Type="http://schemas.openxmlformats.org/officeDocument/2006/relationships/hyperlink" Target="https://www.facebook.com/profile.php?id=61555994852457" TargetMode="External"/><Relationship Id="rId687" Type="http://schemas.openxmlformats.org/officeDocument/2006/relationships/hyperlink" Target="https://www.linkedin.com/in/shahd-saad-3a66b6284/" TargetMode="External"/><Relationship Id="rId810" Type="http://schemas.openxmlformats.org/officeDocument/2006/relationships/hyperlink" Target="https://discord.com/channels/_sha7d_" TargetMode="External"/><Relationship Id="rId242" Type="http://schemas.openxmlformats.org/officeDocument/2006/relationships/hyperlink" Target="https://x.com/yassin_gouda" TargetMode="External"/><Relationship Id="rId284" Type="http://schemas.openxmlformats.org/officeDocument/2006/relationships/hyperlink" Target="https://www.facebook.com/Mo3taz00Ezz" TargetMode="External"/><Relationship Id="rId491" Type="http://schemas.openxmlformats.org/officeDocument/2006/relationships/hyperlink" Target="https://www.behance.net/abdelraelramad1" TargetMode="External"/><Relationship Id="rId505" Type="http://schemas.openxmlformats.org/officeDocument/2006/relationships/hyperlink" Target="https://www.linkedin.com/in/mohamed-abdelaziz-1abb56232?utm_source=share&amp;utm_campaign=share_via&amp;utm_content=profile&amp;utm_medium=android_app" TargetMode="External"/><Relationship Id="rId712" Type="http://schemas.openxmlformats.org/officeDocument/2006/relationships/hyperlink" Target="https://www.facebook.com/minnah.mostafa?mibextid=LQQJ4d&amp;mibextid=LQQJ4d" TargetMode="External"/><Relationship Id="rId37" Type="http://schemas.openxmlformats.org/officeDocument/2006/relationships/hyperlink" Target="https://github.com/esraa-el-tohamii" TargetMode="External"/><Relationship Id="rId79" Type="http://schemas.openxmlformats.org/officeDocument/2006/relationships/hyperlink" Target="https://x.com/KareemGhan52384?t=WXr4q6czaG_FpjY_CsPvow&amp;s=09" TargetMode="External"/><Relationship Id="rId102" Type="http://schemas.openxmlformats.org/officeDocument/2006/relationships/hyperlink" Target="https://www.facebook.com/share/19X7SUwkQ8/" TargetMode="External"/><Relationship Id="rId144" Type="http://schemas.openxmlformats.org/officeDocument/2006/relationships/hyperlink" Target="https://www.linkedin.com/in/mahmoud-yahia-7a5514293/" TargetMode="External"/><Relationship Id="rId547" Type="http://schemas.openxmlformats.org/officeDocument/2006/relationships/hyperlink" Target="https://www.facebook.com/yasmin.radwan.79" TargetMode="External"/><Relationship Id="rId589" Type="http://schemas.openxmlformats.org/officeDocument/2006/relationships/hyperlink" Target="https://x.com/MalakElbanna0" TargetMode="External"/><Relationship Id="rId754" Type="http://schemas.openxmlformats.org/officeDocument/2006/relationships/hyperlink" Target="https://www.facebook.com/mohamed.o.elkholy.35?mibextid=ZbWKwL" TargetMode="External"/><Relationship Id="rId796" Type="http://schemas.openxmlformats.org/officeDocument/2006/relationships/hyperlink" Target="https://www.linkedin.com/in/nada-momtaz-25465b254?utm_source=share&amp;utm_campaign=share_via&amp;utm_content=profile&amp;utm_medium=android_app" TargetMode="External"/><Relationship Id="rId90" Type="http://schemas.openxmlformats.org/officeDocument/2006/relationships/hyperlink" Target="https://discord.gg/3TtHrNqv" TargetMode="External"/><Relationship Id="rId186" Type="http://schemas.openxmlformats.org/officeDocument/2006/relationships/hyperlink" Target="https://x.com/zeiad_39?t=L1zxSLBvNE0q5a7wKk8SPA&amp;s=09" TargetMode="External"/><Relationship Id="rId351" Type="http://schemas.openxmlformats.org/officeDocument/2006/relationships/hyperlink" Target="https://www.behance.net/ammaryasser138" TargetMode="External"/><Relationship Id="rId393" Type="http://schemas.openxmlformats.org/officeDocument/2006/relationships/hyperlink" Target="https://www.behance.net/youssefel-baso" TargetMode="External"/><Relationship Id="rId407" Type="http://schemas.openxmlformats.org/officeDocument/2006/relationships/hyperlink" Target="https://github.com/ellithey566/ellithey566/tree/main" TargetMode="External"/><Relationship Id="rId449" Type="http://schemas.openxmlformats.org/officeDocument/2006/relationships/hyperlink" Target="https://www.facebook.com/mohamed.abdelghany.18294053?mibextid=LQQJ4d" TargetMode="External"/><Relationship Id="rId614" Type="http://schemas.openxmlformats.org/officeDocument/2006/relationships/hyperlink" Target="https://www.facebook.com/mohamed.awad.7731g?mibextid=ZbWKwL" TargetMode="External"/><Relationship Id="rId656" Type="http://schemas.openxmlformats.org/officeDocument/2006/relationships/hyperlink" Target="https://github.com/OmarLokam" TargetMode="External"/><Relationship Id="rId821" Type="http://schemas.openxmlformats.org/officeDocument/2006/relationships/hyperlink" Target="https://www.facebook.com/profile.php?id=100046697760640" TargetMode="External"/><Relationship Id="rId211" Type="http://schemas.openxmlformats.org/officeDocument/2006/relationships/hyperlink" Target="https://github.com/faresayma" TargetMode="External"/><Relationship Id="rId253" Type="http://schemas.openxmlformats.org/officeDocument/2006/relationships/hyperlink" Target="https://www.behance.net/ahmedadel898" TargetMode="External"/><Relationship Id="rId295" Type="http://schemas.openxmlformats.org/officeDocument/2006/relationships/hyperlink" Target="https://discord.com/channels/@me" TargetMode="External"/><Relationship Id="rId309" Type="http://schemas.openxmlformats.org/officeDocument/2006/relationships/hyperlink" Target="https://www.facebook.com/profile.php?id=100074463285161&amp;mibextid=rS40aB7S9Ucbxw6v" TargetMode="External"/><Relationship Id="rId460" Type="http://schemas.openxmlformats.org/officeDocument/2006/relationships/hyperlink" Target="https://discord.gg/NRDTphvj" TargetMode="External"/><Relationship Id="rId516" Type="http://schemas.openxmlformats.org/officeDocument/2006/relationships/hyperlink" Target="https://github.com/Kokss7" TargetMode="External"/><Relationship Id="rId698" Type="http://schemas.openxmlformats.org/officeDocument/2006/relationships/hyperlink" Target="https://www.facebook.com/profile.php?id=100028784166623&amp;mibextid=ZbWKwL" TargetMode="External"/><Relationship Id="rId48" Type="http://schemas.openxmlformats.org/officeDocument/2006/relationships/hyperlink" Target="https://www.facebook.com/profile.php?id=100034211852937&amp;mibextid=ZbWKwL" TargetMode="External"/><Relationship Id="rId113" Type="http://schemas.openxmlformats.org/officeDocument/2006/relationships/hyperlink" Target="https://discord.gg/yp8P9kFc" TargetMode="External"/><Relationship Id="rId320" Type="http://schemas.openxmlformats.org/officeDocument/2006/relationships/hyperlink" Target="http://www.facebook.com/" TargetMode="External"/><Relationship Id="rId558" Type="http://schemas.openxmlformats.org/officeDocument/2006/relationships/hyperlink" Target="http://www.linkedin.com/in/mohamed-naderrr" TargetMode="External"/><Relationship Id="rId723" Type="http://schemas.openxmlformats.org/officeDocument/2006/relationships/hyperlink" Target="https://x.com/gannah10526" TargetMode="External"/><Relationship Id="rId765" Type="http://schemas.openxmlformats.org/officeDocument/2006/relationships/hyperlink" Target="https://discord.gg/JyX3wYvs" TargetMode="External"/><Relationship Id="rId155" Type="http://schemas.openxmlformats.org/officeDocument/2006/relationships/hyperlink" Target="https://www.facebook.com/share/v/Z8bWjgzjm3iN4mXK/" TargetMode="External"/><Relationship Id="rId197" Type="http://schemas.openxmlformats.org/officeDocument/2006/relationships/hyperlink" Target="https://www.facebook.com/share/15W1utqZqS/" TargetMode="External"/><Relationship Id="rId362" Type="http://schemas.openxmlformats.org/officeDocument/2006/relationships/hyperlink" Target="https://www.facebook.com/profile.php?id=100009623321304&amp;mibextid=LQQJ4d" TargetMode="External"/><Relationship Id="rId418" Type="http://schemas.openxmlformats.org/officeDocument/2006/relationships/hyperlink" Target="https://www.facebook.com/esraa.khafaga.77?mibextid=ZbWKwL" TargetMode="External"/><Relationship Id="rId625" Type="http://schemas.openxmlformats.org/officeDocument/2006/relationships/hyperlink" Target="https://x.com/Dina_Ibrahim23?t=sxEO1ddlbadmeUskMoAWzw&amp;s=09" TargetMode="External"/><Relationship Id="rId832" Type="http://schemas.openxmlformats.org/officeDocument/2006/relationships/hyperlink" Target="https://www.facebook.com/profile.php?id=100081280830457" TargetMode="External"/><Relationship Id="rId222" Type="http://schemas.openxmlformats.org/officeDocument/2006/relationships/hyperlink" Target="https://github.com/yousra137" TargetMode="External"/><Relationship Id="rId264" Type="http://schemas.openxmlformats.org/officeDocument/2006/relationships/hyperlink" Target="https://github.com/amrk111" TargetMode="External"/><Relationship Id="rId471" Type="http://schemas.openxmlformats.org/officeDocument/2006/relationships/hyperlink" Target="https://www.linkedin.com/in/zyad-gaweesh-16ab131ab?utm_source=share&amp;utm_campaign=share_via&amp;utm_content=profile&amp;utm_medium=android_app" TargetMode="External"/><Relationship Id="rId667" Type="http://schemas.openxmlformats.org/officeDocument/2006/relationships/hyperlink" Target="https://www.linkedin.com/in/omar-ahmed-ab472b230?utm_source=share&amp;utm_campaign=share_via&amp;utm_content=profile&amp;utm_medium=android_app" TargetMode="External"/><Relationship Id="rId17" Type="http://schemas.openxmlformats.org/officeDocument/2006/relationships/hyperlink" Target="https://www.facebook.com/share/19R6P34gEP/?mibextid=LQQJ4d" TargetMode="External"/><Relationship Id="rId59" Type="http://schemas.openxmlformats.org/officeDocument/2006/relationships/hyperlink" Target="https://www.facebook.com/profile.php?id=61568242142335&amp;mibextid=ZbWKwL" TargetMode="External"/><Relationship Id="rId124" Type="http://schemas.openxmlformats.org/officeDocument/2006/relationships/hyperlink" Target="https://www.facebook.com/profile.php?id=61554938321177&amp;mibextid=ZbWKwL" TargetMode="External"/><Relationship Id="rId527" Type="http://schemas.openxmlformats.org/officeDocument/2006/relationships/hyperlink" Target="https://www.facebook.com/share/15EdgTE8gd/" TargetMode="External"/><Relationship Id="rId569" Type="http://schemas.openxmlformats.org/officeDocument/2006/relationships/hyperlink" Target="https://x.com/home" TargetMode="External"/><Relationship Id="rId734" Type="http://schemas.openxmlformats.org/officeDocument/2006/relationships/hyperlink" Target="https://www.facebook.com/share/19SdrSRHsL/" TargetMode="External"/><Relationship Id="rId776" Type="http://schemas.openxmlformats.org/officeDocument/2006/relationships/hyperlink" Target="https://www.facebook.com/profile.php?id=100091425038819&amp;mibextid=ZbWKwL" TargetMode="External"/><Relationship Id="rId70" Type="http://schemas.openxmlformats.org/officeDocument/2006/relationships/hyperlink" Target="https://facebook.com/" TargetMode="External"/><Relationship Id="rId166" Type="http://schemas.openxmlformats.org/officeDocument/2006/relationships/hyperlink" Target="https://www.linkedin.com/in/sama-yaseen-54ba3432a?utm_source=share&amp;utm_campaign=share_via&amp;utm_content=profile&amp;utm_medium=android_app" TargetMode="External"/><Relationship Id="rId331" Type="http://schemas.openxmlformats.org/officeDocument/2006/relationships/hyperlink" Target="https://www.facebook.com/profile.php?id=100024984033394&amp;mibextid=ZbWKwL" TargetMode="External"/><Relationship Id="rId373" Type="http://schemas.openxmlformats.org/officeDocument/2006/relationships/hyperlink" Target="https://bunch.party/SEcXKqwwW9x9nJBh6" TargetMode="External"/><Relationship Id="rId429" Type="http://schemas.openxmlformats.org/officeDocument/2006/relationships/hyperlink" Target="https://www.facebook.com/profile.php?id=100090361726968&amp;mibextid=ZbWKwL" TargetMode="External"/><Relationship Id="rId580" Type="http://schemas.openxmlformats.org/officeDocument/2006/relationships/hyperlink" Target="https://www.facebook.com/fathy.elbyar?mibextid=ZbWKwL" TargetMode="External"/><Relationship Id="rId636" Type="http://schemas.openxmlformats.org/officeDocument/2006/relationships/hyperlink" Target="https://www.behance.net/mostafaramadan51" TargetMode="External"/><Relationship Id="rId801" Type="http://schemas.openxmlformats.org/officeDocument/2006/relationships/hyperlink" Target="https://www.facebook.com/profile.php?id=100095152026512" TargetMode="External"/><Relationship Id="rId1" Type="http://schemas.openxmlformats.org/officeDocument/2006/relationships/hyperlink" Target="http://www.cisteam.org/events/28/register" TargetMode="External"/><Relationship Id="rId233" Type="http://schemas.openxmlformats.org/officeDocument/2006/relationships/hyperlink" Target="https://www.behance.net/ii_menshawz" TargetMode="External"/><Relationship Id="rId440" Type="http://schemas.openxmlformats.org/officeDocument/2006/relationships/hyperlink" Target="https://www.linkedin.com/in/menna-abdou-7a2254339?utm_source=share&amp;utm_campaign=share_via&amp;utm_content=profile&amp;utm_medium=android_app" TargetMode="External"/><Relationship Id="rId678" Type="http://schemas.openxmlformats.org/officeDocument/2006/relationships/hyperlink" Target="https://www.facebook.com/profile.php?id=100011489112484&amp;mibextid=ZbWKwL" TargetMode="External"/><Relationship Id="rId28" Type="http://schemas.openxmlformats.org/officeDocument/2006/relationships/hyperlink" Target="https://www.facebook.com/youssef.mansour.165470?mibextid=LQQJ4d" TargetMode="External"/><Relationship Id="rId275" Type="http://schemas.openxmlformats.org/officeDocument/2006/relationships/hyperlink" Target="https://x.com/abdallahemish?s=21" TargetMode="External"/><Relationship Id="rId300" Type="http://schemas.openxmlformats.org/officeDocument/2006/relationships/hyperlink" Target="http://linkedin.com/in/fares-aboelnasr-9a335728a" TargetMode="External"/><Relationship Id="rId482" Type="http://schemas.openxmlformats.org/officeDocument/2006/relationships/hyperlink" Target="https://www.facebook.com/hossam.shehata.796?mibextid=ZbWKwL" TargetMode="External"/><Relationship Id="rId538" Type="http://schemas.openxmlformats.org/officeDocument/2006/relationships/hyperlink" Target="https://www.facebook.com/omnia.hossam.1654700" TargetMode="External"/><Relationship Id="rId703" Type="http://schemas.openxmlformats.org/officeDocument/2006/relationships/hyperlink" Target="https://www.facebook.com/ramy.mod.md?mibextid=ZbWKwL" TargetMode="External"/><Relationship Id="rId745" Type="http://schemas.openxmlformats.org/officeDocument/2006/relationships/hyperlink" Target="https://www.facebook.com/khaled.ahmedmossad.9" TargetMode="External"/><Relationship Id="rId81" Type="http://schemas.openxmlformats.org/officeDocument/2006/relationships/hyperlink" Target="https://github.com/KareemGhanem0" TargetMode="External"/><Relationship Id="rId135" Type="http://schemas.openxmlformats.org/officeDocument/2006/relationships/hyperlink" Target="https://www.facebook.com/profile.php?id=100025987223087" TargetMode="External"/><Relationship Id="rId177" Type="http://schemas.openxmlformats.org/officeDocument/2006/relationships/hyperlink" Target="https://www.linkedin.com/in/menna-amin-226a84329?utm_source=share&amp;utm_campaign=share_via&amp;utm_content=profile&amp;utm_medium=android_app" TargetMode="External"/><Relationship Id="rId342" Type="http://schemas.openxmlformats.org/officeDocument/2006/relationships/hyperlink" Target="https://github.com/Tertegen2004" TargetMode="External"/><Relationship Id="rId384" Type="http://schemas.openxmlformats.org/officeDocument/2006/relationships/hyperlink" Target="https://www.facebook.com/profile.php?id=61555144246324&amp;mibextid=ZbWKwL" TargetMode="External"/><Relationship Id="rId591" Type="http://schemas.openxmlformats.org/officeDocument/2006/relationships/hyperlink" Target="https://www.facebook.com/profile.php?id=100090230381515&amp;mibextid=ZbWKwL" TargetMode="External"/><Relationship Id="rId605" Type="http://schemas.openxmlformats.org/officeDocument/2006/relationships/hyperlink" Target="https://www.facebook.com/profile.php?id=100060129041760&amp;mibextid=LQQJ4d" TargetMode="External"/><Relationship Id="rId787" Type="http://schemas.openxmlformats.org/officeDocument/2006/relationships/hyperlink" Target="https://www.linkedin.com/in/shada-basyoni-27680a315?trk=contact-info" TargetMode="External"/><Relationship Id="rId812" Type="http://schemas.openxmlformats.org/officeDocument/2006/relationships/hyperlink" Target="https://github.com/users/SHahd-Ibrahim-Rezq" TargetMode="External"/><Relationship Id="rId202" Type="http://schemas.openxmlformats.org/officeDocument/2006/relationships/hyperlink" Target="https://www.facebook.com/profile.php?id=61552702670893" TargetMode="External"/><Relationship Id="rId244" Type="http://schemas.openxmlformats.org/officeDocument/2006/relationships/hyperlink" Target="https://github.com/YasinGouda" TargetMode="External"/><Relationship Id="rId647" Type="http://schemas.openxmlformats.org/officeDocument/2006/relationships/hyperlink" Target="https://www.facebook.com/profile.php?id=100008268288524" TargetMode="External"/><Relationship Id="rId689" Type="http://schemas.openxmlformats.org/officeDocument/2006/relationships/hyperlink" Target="https://www.facebook.com/profile.php?id=61558491870799&amp;mibextid=ZbWKwL" TargetMode="External"/><Relationship Id="rId39" Type="http://schemas.openxmlformats.org/officeDocument/2006/relationships/hyperlink" Target="http://hhhhhhhg.com/" TargetMode="External"/><Relationship Id="rId286" Type="http://schemas.openxmlformats.org/officeDocument/2006/relationships/hyperlink" Target="https://github.com/moattaz/Moataz-Saleh" TargetMode="External"/><Relationship Id="rId451" Type="http://schemas.openxmlformats.org/officeDocument/2006/relationships/hyperlink" Target="https://www.facebook.com/rawan.sameh.39?mibextid=LQQJ4d" TargetMode="External"/><Relationship Id="rId493" Type="http://schemas.openxmlformats.org/officeDocument/2006/relationships/hyperlink" Target="https://www.linkedin.com/in/mahmd-ali/" TargetMode="External"/><Relationship Id="rId507" Type="http://schemas.openxmlformats.org/officeDocument/2006/relationships/hyperlink" Target="https://www.facebook.com/profile.php?id=100094768422355" TargetMode="External"/><Relationship Id="rId549" Type="http://schemas.openxmlformats.org/officeDocument/2006/relationships/hyperlink" Target="https://www.facebook.com/mazin.alaa.965?mibextid=LQQJ4d" TargetMode="External"/><Relationship Id="rId714" Type="http://schemas.openxmlformats.org/officeDocument/2006/relationships/hyperlink" Target="https://www.linkedin.com/in/minnah-mostafa-991182320?utm_source=share&amp;utm_campaign=share_via&amp;utm_content=profile&amp;utm_medium=ios_app" TargetMode="External"/><Relationship Id="rId756" Type="http://schemas.openxmlformats.org/officeDocument/2006/relationships/hyperlink" Target="https://x.com/YElbrmbaly10204" TargetMode="External"/><Relationship Id="rId50" Type="http://schemas.openxmlformats.org/officeDocument/2006/relationships/hyperlink" Target="https://www.linkedin.com/in/nagwa-sadek-a67212307?utm_source=share&amp;utm_campaign=share_via&amp;utm_content=profile&amp;utm_medium=android_app" TargetMode="External"/><Relationship Id="rId104" Type="http://schemas.openxmlformats.org/officeDocument/2006/relationships/hyperlink" Target="https://www.linkedin.com/in/rewan-mostafa-39b125267?utm_source=share&amp;utm_campaign=share_via&amp;utm_content=profile&amp;utm_medium=android_app" TargetMode="External"/><Relationship Id="rId146" Type="http://schemas.openxmlformats.org/officeDocument/2006/relationships/hyperlink" Target="https://web.facebook.com/profile.php?id=100011779478503&amp;locale=ar_AR" TargetMode="External"/><Relationship Id="rId188" Type="http://schemas.openxmlformats.org/officeDocument/2006/relationships/hyperlink" Target="https://github.com/ZeiadGamalSaad" TargetMode="External"/><Relationship Id="rId311" Type="http://schemas.openxmlformats.org/officeDocument/2006/relationships/hyperlink" Target="https://www.linkedin.com/in/mohamed-ehab74" TargetMode="External"/><Relationship Id="rId353" Type="http://schemas.openxmlformats.org/officeDocument/2006/relationships/hyperlink" Target="https://www.facebook.com/profile.php?id=100011038352640&amp;mibextid=LQQJ4d" TargetMode="External"/><Relationship Id="rId395" Type="http://schemas.openxmlformats.org/officeDocument/2006/relationships/hyperlink" Target="https://www.facebook.com/profile.php?id=100015314594323" TargetMode="External"/><Relationship Id="rId409" Type="http://schemas.openxmlformats.org/officeDocument/2006/relationships/hyperlink" Target="http://fdjdjsj.com/" TargetMode="External"/><Relationship Id="rId560" Type="http://schemas.openxmlformats.org/officeDocument/2006/relationships/hyperlink" Target="https://www.facebook.com/profile.php?id=61565769183947&amp;mibextid=ZbWKwL" TargetMode="External"/><Relationship Id="rId798" Type="http://schemas.openxmlformats.org/officeDocument/2006/relationships/hyperlink" Target="https://www.behance.net/nadamomtaz2022" TargetMode="External"/><Relationship Id="rId92" Type="http://schemas.openxmlformats.org/officeDocument/2006/relationships/hyperlink" Target="https://www.facebook.com/share/17sM9Q3WqS/?mibextid=qi2Omg" TargetMode="External"/><Relationship Id="rId213" Type="http://schemas.openxmlformats.org/officeDocument/2006/relationships/hyperlink" Target="https://x.com/YasminH47766234?t=tIDbdasvaOV7kbZE2NLBbA&amp;s=09" TargetMode="External"/><Relationship Id="rId420" Type="http://schemas.openxmlformats.org/officeDocument/2006/relationships/hyperlink" Target="https://www.linkedin.com/in/esraa-khafaga-b341b3327?utm_source=share&amp;utm_campaign=share_via&amp;utm_content=profile&amp;utm_medium=android_app" TargetMode="External"/><Relationship Id="rId616" Type="http://schemas.openxmlformats.org/officeDocument/2006/relationships/hyperlink" Target="https://github.com/Mohammed209-Z" TargetMode="External"/><Relationship Id="rId658" Type="http://schemas.openxmlformats.org/officeDocument/2006/relationships/hyperlink" Target="https://www.facebook.com/salma.moustfa.18/" TargetMode="External"/><Relationship Id="rId823" Type="http://schemas.openxmlformats.org/officeDocument/2006/relationships/hyperlink" Target="https://www.linkedin.com/in/salma-tarek-solarwinds200" TargetMode="External"/><Relationship Id="rId255" Type="http://schemas.openxmlformats.org/officeDocument/2006/relationships/hyperlink" Target="https://www.linkedin.com/in/nagat-elpastawesi-b90320329?utm_source=share&amp;utm_campaign=share_via&amp;utm_content=profile&amp;utm_medium=android_app" TargetMode="External"/><Relationship Id="rId297" Type="http://schemas.openxmlformats.org/officeDocument/2006/relationships/hyperlink" Target="https://www.behance.net/helmyhisham" TargetMode="External"/><Relationship Id="rId462" Type="http://schemas.openxmlformats.org/officeDocument/2006/relationships/hyperlink" Target="https://www.facebook.com/share/fqyKVKotQPWbwXua/?mibextid=LQQJ4d" TargetMode="External"/><Relationship Id="rId518" Type="http://schemas.openxmlformats.org/officeDocument/2006/relationships/hyperlink" Target="http://discord.com/channels/@me" TargetMode="External"/><Relationship Id="rId725" Type="http://schemas.openxmlformats.org/officeDocument/2006/relationships/hyperlink" Target="https://x.com/rawan_esmail19" TargetMode="External"/><Relationship Id="rId115" Type="http://schemas.openxmlformats.org/officeDocument/2006/relationships/hyperlink" Target="https://www.linkedin.com/in/malak-elgizawy-356020329?utm_source=share&amp;utm_campaign=share_via&amp;utm_content=profile&amp;utm_medium=android_app" TargetMode="External"/><Relationship Id="rId157" Type="http://schemas.openxmlformats.org/officeDocument/2006/relationships/hyperlink" Target="https://www.facebook.com/profile.php?id=100089930238963" TargetMode="External"/><Relationship Id="rId322" Type="http://schemas.openxmlformats.org/officeDocument/2006/relationships/hyperlink" Target="https://x.com/Mayar_Saber2?t=MBTltCgdszTPAVrEBQRyBw&amp;s=09" TargetMode="External"/><Relationship Id="rId364" Type="http://schemas.openxmlformats.org/officeDocument/2006/relationships/hyperlink" Target="https://x.com/mennamaged2389?s=11" TargetMode="External"/><Relationship Id="rId767" Type="http://schemas.openxmlformats.org/officeDocument/2006/relationships/hyperlink" Target="https://www.facebook.com/profile.php?id=100080219746127&amp;mibextid=ZbWKwL" TargetMode="External"/><Relationship Id="rId61" Type="http://schemas.openxmlformats.org/officeDocument/2006/relationships/hyperlink" Target="https://www.facebook.com/doha.shadi.1" TargetMode="External"/><Relationship Id="rId199" Type="http://schemas.openxmlformats.org/officeDocument/2006/relationships/hyperlink" Target="https://x.com/prog_mg" TargetMode="External"/><Relationship Id="rId571" Type="http://schemas.openxmlformats.org/officeDocument/2006/relationships/hyperlink" Target="https://www.facebook.com/profile.php?id=100010602588546&amp;mibextid=LQQJ4d" TargetMode="External"/><Relationship Id="rId627" Type="http://schemas.openxmlformats.org/officeDocument/2006/relationships/hyperlink" Target="https://www.linkedin.com/in/dina-goda-2000432a4?utm_source=share&amp;utm_campaign=share_via&amp;utm_content=profile&amp;utm_medium=android_app" TargetMode="External"/><Relationship Id="rId669" Type="http://schemas.openxmlformats.org/officeDocument/2006/relationships/hyperlink" Target="https://www.behance.net/omarahmed730" TargetMode="External"/><Relationship Id="rId834" Type="http://schemas.openxmlformats.org/officeDocument/2006/relationships/hyperlink" Target="https://www.linkedin.com/in/eslam-elzamkan-771071239/" TargetMode="External"/><Relationship Id="rId19" Type="http://schemas.openxmlformats.org/officeDocument/2006/relationships/hyperlink" Target="https://www.linkedin.com/in/kareem-maher-b26981330?utm_source=share&amp;utm_campaign=share_via&amp;utm_content=profile&amp;utm_medium=ios_app" TargetMode="External"/><Relationship Id="rId224" Type="http://schemas.openxmlformats.org/officeDocument/2006/relationships/hyperlink" Target="https://www.facebook.com/profile.php?id=100017036108807&amp;mibextid=ZbWKwL" TargetMode="External"/><Relationship Id="rId266" Type="http://schemas.openxmlformats.org/officeDocument/2006/relationships/hyperlink" Target="https://www.facebook.com/profile.php?id=100071633059812&amp;mibextid=ZbWKwL" TargetMode="External"/><Relationship Id="rId431" Type="http://schemas.openxmlformats.org/officeDocument/2006/relationships/hyperlink" Target="https://www.linkedin.com/in/khaled-megahed-3299a6289" TargetMode="External"/><Relationship Id="rId473" Type="http://schemas.openxmlformats.org/officeDocument/2006/relationships/hyperlink" Target="https://www.facebook.com/myrna.nader.710?mibextid=ZbWKwL" TargetMode="External"/><Relationship Id="rId529" Type="http://schemas.openxmlformats.org/officeDocument/2006/relationships/hyperlink" Target="https://www.linkedin.com/in/ibrahim-elshabrawy-b8a9492aa?utm_source=share&amp;utm_campaign=share_via&amp;utm_content=profile&amp;utm_medium=android_app" TargetMode="External"/><Relationship Id="rId680" Type="http://schemas.openxmlformats.org/officeDocument/2006/relationships/hyperlink" Target="https://www.facebook.com/MohammedAlaaMokhtar74?mibextid=ZbWKwL" TargetMode="External"/><Relationship Id="rId736" Type="http://schemas.openxmlformats.org/officeDocument/2006/relationships/hyperlink" Target="https://www.linkedin.com/in/martina-ibrahim-1605bb305?utm_source=share&amp;utm_campaign=share_via&amp;utm_content=profile&amp;utm_medium=android_app" TargetMode="External"/><Relationship Id="rId30" Type="http://schemas.openxmlformats.org/officeDocument/2006/relationships/hyperlink" Target="https://x.com/eman_Mahm0ud4?s=09" TargetMode="External"/><Relationship Id="rId126" Type="http://schemas.openxmlformats.org/officeDocument/2006/relationships/hyperlink" Target="https://www.facebook.com/share/19kByATVTa/" TargetMode="External"/><Relationship Id="rId168" Type="http://schemas.openxmlformats.org/officeDocument/2006/relationships/hyperlink" Target="https://www.facebook.com/profile.php?id=100009060334855&amp;mibextid=ZbWKwL" TargetMode="External"/><Relationship Id="rId333" Type="http://schemas.openxmlformats.org/officeDocument/2006/relationships/hyperlink" Target="https://www.facebook.com/profile.php?id=100024984033394&amp;mibextid=ZbWKwL" TargetMode="External"/><Relationship Id="rId540" Type="http://schemas.openxmlformats.org/officeDocument/2006/relationships/hyperlink" Target="https://www.facebook.com/share/1EE73quSG9/" TargetMode="External"/><Relationship Id="rId778" Type="http://schemas.openxmlformats.org/officeDocument/2006/relationships/hyperlink" Target="https://x.com/MennaElmoh88127?t=yn5mmJnQSZH3i3PUDM_l1Q&amp;s=08" TargetMode="External"/><Relationship Id="rId72" Type="http://schemas.openxmlformats.org/officeDocument/2006/relationships/hyperlink" Target="http://github.com/mohamednaeemm/" TargetMode="External"/><Relationship Id="rId375" Type="http://schemas.openxmlformats.org/officeDocument/2006/relationships/hyperlink" Target="https://x.com/mohamed68405277?t=PvzF8dNmcuZqcEIu9qUgJg&amp;s=09" TargetMode="External"/><Relationship Id="rId582" Type="http://schemas.openxmlformats.org/officeDocument/2006/relationships/hyperlink" Target="https://www.facebook.com/fathy.elbyar?mibextid=ZbWKwL" TargetMode="External"/><Relationship Id="rId638" Type="http://schemas.openxmlformats.org/officeDocument/2006/relationships/hyperlink" Target="https://github.com/yomna-khaled1" TargetMode="External"/><Relationship Id="rId803" Type="http://schemas.openxmlformats.org/officeDocument/2006/relationships/hyperlink" Target="https://github.com/engineer-mohamed" TargetMode="External"/><Relationship Id="rId3" Type="http://schemas.openxmlformats.org/officeDocument/2006/relationships/hyperlink" Target="http://www.cisteam.org/events/28/register" TargetMode="External"/><Relationship Id="rId235" Type="http://schemas.openxmlformats.org/officeDocument/2006/relationships/hyperlink" Target="https://x.com/home?lang=en" TargetMode="External"/><Relationship Id="rId277" Type="http://schemas.openxmlformats.org/officeDocument/2006/relationships/hyperlink" Target="https://github.com/abdallahemish" TargetMode="External"/><Relationship Id="rId400" Type="http://schemas.openxmlformats.org/officeDocument/2006/relationships/hyperlink" Target="https://www.linkedin.com/in/menna-rashed?utm_source=share&amp;utm_campaign=share_via&amp;utm_content=profile&amp;utm_medium=android_app" TargetMode="External"/><Relationship Id="rId442" Type="http://schemas.openxmlformats.org/officeDocument/2006/relationships/hyperlink" Target="https://x.com/abdou_menn70310?t=DD8F3iZIt1c1dhadeGIsGw&amp;s=09" TargetMode="External"/><Relationship Id="rId484" Type="http://schemas.openxmlformats.org/officeDocument/2006/relationships/hyperlink" Target="https://www.facebook.com/rawda.eweda.9?mibextid=ZbWKwL" TargetMode="External"/><Relationship Id="rId705" Type="http://schemas.openxmlformats.org/officeDocument/2006/relationships/hyperlink" Target="https://www.linkedin.com/in/ramy-modalal-1705ba258?utm_source=share&amp;utm_campaign=share_via&amp;utm_content=profile&amp;utm_medium=android_app" TargetMode="External"/><Relationship Id="rId137" Type="http://schemas.openxmlformats.org/officeDocument/2006/relationships/hyperlink" Target="https://github.com/Master-Heat" TargetMode="External"/><Relationship Id="rId302" Type="http://schemas.openxmlformats.org/officeDocument/2006/relationships/hyperlink" Target="https://www.facebook.com/profile.php?id=100007322474957" TargetMode="External"/><Relationship Id="rId344" Type="http://schemas.openxmlformats.org/officeDocument/2006/relationships/hyperlink" Target="https://www.linkedin.com/in/shams-mohammed-085570330?utm_source=share&amp;utm_campaign=share_via&amp;utm_content=profile&amp;utm_medium=android_app" TargetMode="External"/><Relationship Id="rId691" Type="http://schemas.openxmlformats.org/officeDocument/2006/relationships/hyperlink" Target="https://www.linkedin.com/in/eng-menna-26535529b?utm_source=share&amp;utm_campaign=share_via&amp;utm_content=profile&amp;utm_medium=android_app" TargetMode="External"/><Relationship Id="rId747" Type="http://schemas.openxmlformats.org/officeDocument/2006/relationships/hyperlink" Target="https://www.linkedin.com/in/khaled-ahmed-mossad-42377533a" TargetMode="External"/><Relationship Id="rId789" Type="http://schemas.openxmlformats.org/officeDocument/2006/relationships/hyperlink" Target="https://www.facebook.com/profile.php?id=61556127450141" TargetMode="External"/><Relationship Id="rId41" Type="http://schemas.openxmlformats.org/officeDocument/2006/relationships/hyperlink" Target="http://x.com/" TargetMode="External"/><Relationship Id="rId83" Type="http://schemas.openxmlformats.org/officeDocument/2006/relationships/hyperlink" Target="https://www.linkedin.com/in/manar-elhabbal-035968317" TargetMode="External"/><Relationship Id="rId179" Type="http://schemas.openxmlformats.org/officeDocument/2006/relationships/hyperlink" Target="https://discord.com/accessibility" TargetMode="External"/><Relationship Id="rId386" Type="http://schemas.openxmlformats.org/officeDocument/2006/relationships/hyperlink" Target="https://www.facebook.com/profile.php?id=61555144246324&amp;mibextid=ZbWKwL" TargetMode="External"/><Relationship Id="rId551" Type="http://schemas.openxmlformats.org/officeDocument/2006/relationships/hyperlink" Target="https://x.com/Omar2015790?t=2UqOIxTrjCk5pw_XdZedIA&amp;s=09" TargetMode="External"/><Relationship Id="rId593" Type="http://schemas.openxmlformats.org/officeDocument/2006/relationships/hyperlink" Target="https://support.discord.com/hc/en-us/profiles/27996346376983" TargetMode="External"/><Relationship Id="rId607" Type="http://schemas.openxmlformats.org/officeDocument/2006/relationships/hyperlink" Target="https://www.facebook.com/profile.php?id=100067046691127&amp;mibextid=ZbWKwL" TargetMode="External"/><Relationship Id="rId649" Type="http://schemas.openxmlformats.org/officeDocument/2006/relationships/hyperlink" Target="https://x.com/Mohamed98727447" TargetMode="External"/><Relationship Id="rId814" Type="http://schemas.openxmlformats.org/officeDocument/2006/relationships/hyperlink" Target="https://www.linkedin.com/in/abdelfatah-ibrahim-ab7081262/" TargetMode="External"/><Relationship Id="rId190" Type="http://schemas.openxmlformats.org/officeDocument/2006/relationships/hyperlink" Target="https://www.facebook.com/profile.php?id=100035618687250" TargetMode="External"/><Relationship Id="rId204" Type="http://schemas.openxmlformats.org/officeDocument/2006/relationships/hyperlink" Target="https://github.com/YoussefMohammed93" TargetMode="External"/><Relationship Id="rId246" Type="http://schemas.openxmlformats.org/officeDocument/2006/relationships/hyperlink" Target="https://www.facebook.com/rokia.elgiar?mibextid=kFxxJD" TargetMode="External"/><Relationship Id="rId288" Type="http://schemas.openxmlformats.org/officeDocument/2006/relationships/hyperlink" Target="https://www.linkedin.com/in/mohamed-yehia-0a323931b?utm_source=share&amp;utm_campaign=share_via&amp;utm_content=profile&amp;utm_medium=android_app" TargetMode="External"/><Relationship Id="rId411" Type="http://schemas.openxmlformats.org/officeDocument/2006/relationships/hyperlink" Target="http://sisiis.com/" TargetMode="External"/><Relationship Id="rId453" Type="http://schemas.openxmlformats.org/officeDocument/2006/relationships/hyperlink" Target="https://www.linkedin.com/in/rawan-elshenawyy-046473339?trk=contact-info" TargetMode="External"/><Relationship Id="rId509" Type="http://schemas.openxmlformats.org/officeDocument/2006/relationships/hyperlink" Target="https://www.facebook.com/profile.php?id=100073416367328&amp;mibextid=ZbWKwL" TargetMode="External"/><Relationship Id="rId660" Type="http://schemas.openxmlformats.org/officeDocument/2006/relationships/hyperlink" Target="https://www.linkedin.com/in/salma-mostafa-6a369427a?utm_source=share&amp;utm_campaign=share_via&amp;utm_content=profile&amp;utm_medium=android_app" TargetMode="External"/><Relationship Id="rId106" Type="http://schemas.openxmlformats.org/officeDocument/2006/relationships/hyperlink" Target="https://www.facebook.com/profile.php?id=100005030685692&amp;mibextid=ZbWKwL" TargetMode="External"/><Relationship Id="rId313" Type="http://schemas.openxmlformats.org/officeDocument/2006/relationships/hyperlink" Target="https://www.facebook.com/profile.php?id=100008035117559&amp;mibextid=ZbWKwL" TargetMode="External"/><Relationship Id="rId495" Type="http://schemas.openxmlformats.org/officeDocument/2006/relationships/hyperlink" Target="https://github.com/Mo7ammed-Ja3far" TargetMode="External"/><Relationship Id="rId716" Type="http://schemas.openxmlformats.org/officeDocument/2006/relationships/hyperlink" Target="https://www.behance.net/boody5104fcd9" TargetMode="External"/><Relationship Id="rId758" Type="http://schemas.openxmlformats.org/officeDocument/2006/relationships/hyperlink" Target="https://github.com/Yossef-Elbrmbaly" TargetMode="External"/><Relationship Id="rId10" Type="http://schemas.openxmlformats.org/officeDocument/2006/relationships/hyperlink" Target="https://www.linkedin.com/in/alihatemali?utm_source=share&amp;utm_campaign=share_via&amp;utm_content=profile&amp;utm_medium=android_app" TargetMode="External"/><Relationship Id="rId52" Type="http://schemas.openxmlformats.org/officeDocument/2006/relationships/hyperlink" Target="https://www.facebook.com/share/1AgKdTaQEj/" TargetMode="External"/><Relationship Id="rId94" Type="http://schemas.openxmlformats.org/officeDocument/2006/relationships/hyperlink" Target="https://www.facebook.com/rahma.alimo?mibextid=ZbWKwL" TargetMode="External"/><Relationship Id="rId148" Type="http://schemas.openxmlformats.org/officeDocument/2006/relationships/hyperlink" Target="https://www.linkedin.com/in/doha-mohammed-a64a14305/" TargetMode="External"/><Relationship Id="rId355" Type="http://schemas.openxmlformats.org/officeDocument/2006/relationships/hyperlink" Target="https://www.linkedin.com/in/rawan-wael-8a2234338?utm_source=share&amp;utm_campaign=share_via&amp;utm_content=profile&amp;utm_medium=android_app" TargetMode="External"/><Relationship Id="rId397" Type="http://schemas.openxmlformats.org/officeDocument/2006/relationships/hyperlink" Target="https://www.facebook.com/mena.rashed.52?mibextid=ZbWKwL" TargetMode="External"/><Relationship Id="rId520" Type="http://schemas.openxmlformats.org/officeDocument/2006/relationships/hyperlink" Target="https://www.linkedin.com/in/loaimohameddd/" TargetMode="External"/><Relationship Id="rId562" Type="http://schemas.openxmlformats.org/officeDocument/2006/relationships/hyperlink" Target="https://x.com/yousefyahia74?t=2n5fJW9MOjZDrjTkv3F8QA&amp;s=09" TargetMode="External"/><Relationship Id="rId618" Type="http://schemas.openxmlformats.org/officeDocument/2006/relationships/hyperlink" Target="https://x.com/janaelshayb6" TargetMode="External"/><Relationship Id="rId825" Type="http://schemas.openxmlformats.org/officeDocument/2006/relationships/hyperlink" Target="https://www.facebook.com/profile.php?id=100046697760640" TargetMode="External"/><Relationship Id="rId215" Type="http://schemas.openxmlformats.org/officeDocument/2006/relationships/hyperlink" Target="https://github.com/Yasminhussein80" TargetMode="External"/><Relationship Id="rId257" Type="http://schemas.openxmlformats.org/officeDocument/2006/relationships/hyperlink" Target="https://www.facebook.com/menna.sarhan.1656?mibextid=ZbWKwL" TargetMode="External"/><Relationship Id="rId422" Type="http://schemas.openxmlformats.org/officeDocument/2006/relationships/hyperlink" Target="https://x.com/JMohammed248" TargetMode="External"/><Relationship Id="rId464" Type="http://schemas.openxmlformats.org/officeDocument/2006/relationships/hyperlink" Target="https://x.com/engeldeep1?s=21" TargetMode="External"/><Relationship Id="rId299" Type="http://schemas.openxmlformats.org/officeDocument/2006/relationships/hyperlink" Target="http://linkedin.com/in/fares-aboelnasr-9a335728a" TargetMode="External"/><Relationship Id="rId727" Type="http://schemas.openxmlformats.org/officeDocument/2006/relationships/hyperlink" Target="http://github.com/RawanEsmail19" TargetMode="External"/><Relationship Id="rId63" Type="http://schemas.openxmlformats.org/officeDocument/2006/relationships/hyperlink" Target="https://www.facebook.com/mohamed.elrahll?mibextid=ZbWKwL" TargetMode="External"/><Relationship Id="rId159" Type="http://schemas.openxmlformats.org/officeDocument/2006/relationships/hyperlink" Target="https://github.com/M-Emad1" TargetMode="External"/><Relationship Id="rId366" Type="http://schemas.openxmlformats.org/officeDocument/2006/relationships/hyperlink" Target="https://github.com/MennaMag" TargetMode="External"/><Relationship Id="rId573" Type="http://schemas.openxmlformats.org/officeDocument/2006/relationships/hyperlink" Target="https://x.com/nadaa_hasan1?s=21" TargetMode="External"/><Relationship Id="rId780" Type="http://schemas.openxmlformats.org/officeDocument/2006/relationships/hyperlink" Target="https://github.com/Mennaelmohamdy3" TargetMode="External"/><Relationship Id="rId226" Type="http://schemas.openxmlformats.org/officeDocument/2006/relationships/hyperlink" Target="https://www.linkedin.com/in/noor-essam-6b554932a?utm_source=share&amp;utm_campaign=share_via&amp;utm_content=profile&amp;utm_medium=android_app" TargetMode="External"/><Relationship Id="rId433" Type="http://schemas.openxmlformats.org/officeDocument/2006/relationships/hyperlink" Target="https://www.facebook.com/profile.php?id=100054605572796&amp;mibextid=kFxxJD" TargetMode="External"/><Relationship Id="rId640" Type="http://schemas.openxmlformats.org/officeDocument/2006/relationships/hyperlink" Target="https://www.facebook.com/share/1ArFg771pu/" TargetMode="External"/><Relationship Id="rId738" Type="http://schemas.openxmlformats.org/officeDocument/2006/relationships/hyperlink" Target="https://www.facebook.com/profile.php?id=100012576063259&amp;mibextid=ZbWKwL" TargetMode="External"/><Relationship Id="rId74" Type="http://schemas.openxmlformats.org/officeDocument/2006/relationships/hyperlink" Target="https://x.com/mariamMahmwd" TargetMode="External"/><Relationship Id="rId377" Type="http://schemas.openxmlformats.org/officeDocument/2006/relationships/hyperlink" Target="https://www.linkedin.com/in/rahma-elnabarawy-787638304/" TargetMode="External"/><Relationship Id="rId500" Type="http://schemas.openxmlformats.org/officeDocument/2006/relationships/hyperlink" Target="https://www.facebook.com/profile.php?id=100088736247916&amp;mibextid=ZbWKwL" TargetMode="External"/><Relationship Id="rId584" Type="http://schemas.openxmlformats.org/officeDocument/2006/relationships/hyperlink" Target="https://www.instagram.com/cgi_salah/" TargetMode="External"/><Relationship Id="rId805" Type="http://schemas.openxmlformats.org/officeDocument/2006/relationships/hyperlink" Target="https://www.linkedin.com/in/mohamed-elzoghby-a5227333a?utm_source=share&amp;utm_campaign=share_via&amp;utm_content=profile&amp;utm_medium=android_app" TargetMode="External"/><Relationship Id="rId5" Type="http://schemas.openxmlformats.org/officeDocument/2006/relationships/hyperlink" Target="https://x.com/SehamMohsen8" TargetMode="External"/><Relationship Id="rId237" Type="http://schemas.openxmlformats.org/officeDocument/2006/relationships/hyperlink" Target="https://github.com/redasaad123" TargetMode="External"/><Relationship Id="rId791" Type="http://schemas.openxmlformats.org/officeDocument/2006/relationships/hyperlink" Target="https://www.facebook.com/sara.atef.75685962" TargetMode="External"/><Relationship Id="rId444" Type="http://schemas.openxmlformats.org/officeDocument/2006/relationships/hyperlink" Target="https://x.com/MarimTa21648756?t=Iuk8yXHcVfm9BpffgpQpug&amp;s=08" TargetMode="External"/><Relationship Id="rId651" Type="http://schemas.openxmlformats.org/officeDocument/2006/relationships/hyperlink" Target="https://github.com/MohamdAymn" TargetMode="External"/><Relationship Id="rId749" Type="http://schemas.openxmlformats.org/officeDocument/2006/relationships/hyperlink" Target="https://www.behance.net/hire/projects" TargetMode="External"/><Relationship Id="rId290" Type="http://schemas.openxmlformats.org/officeDocument/2006/relationships/hyperlink" Target="https://www.facebook.com/profile.php?id=100084144094358&amp;mibextid=ZbWKwL" TargetMode="External"/><Relationship Id="rId304" Type="http://schemas.openxmlformats.org/officeDocument/2006/relationships/hyperlink" Target="https://www.facebook.com/profile.php?id=100076344066376" TargetMode="External"/><Relationship Id="rId388" Type="http://schemas.openxmlformats.org/officeDocument/2006/relationships/hyperlink" Target="https://www.facebook.com/profile.php?id=61551377777169" TargetMode="External"/><Relationship Id="rId511" Type="http://schemas.openxmlformats.org/officeDocument/2006/relationships/hyperlink" Target="https://www.facebook.com/ebrahim.yasser.7161?mibextid=ZbWKwL" TargetMode="External"/><Relationship Id="rId609" Type="http://schemas.openxmlformats.org/officeDocument/2006/relationships/hyperlink" Target="https://www.linkedin.com/in/mohamed-el-sayed-705a8b325?utm_source=share&amp;utm_campaign=share_via&amp;utm_content=profile&amp;utm_medium=android_app" TargetMode="External"/><Relationship Id="rId85" Type="http://schemas.openxmlformats.org/officeDocument/2006/relationships/hyperlink" Target="https://www.behance.net/manarelhabbal" TargetMode="External"/><Relationship Id="rId150" Type="http://schemas.openxmlformats.org/officeDocument/2006/relationships/hyperlink" Target="https://www.behance.net/dohamouhammed" TargetMode="External"/><Relationship Id="rId595" Type="http://schemas.openxmlformats.org/officeDocument/2006/relationships/hyperlink" Target="https://discord.gg/dC2dVHtr" TargetMode="External"/><Relationship Id="rId816" Type="http://schemas.openxmlformats.org/officeDocument/2006/relationships/hyperlink" Target="https://www.linkedin.com/in/rana-arida-711705268?utm_source=share&amp;utm_campaign=share_via&amp;utm_content=profile&amp;utm_medium=ios_app" TargetMode="External"/><Relationship Id="rId248" Type="http://schemas.openxmlformats.org/officeDocument/2006/relationships/hyperlink" Target="https://facebook.com/saranabih" TargetMode="External"/><Relationship Id="rId455" Type="http://schemas.openxmlformats.org/officeDocument/2006/relationships/hyperlink" Target="http://skwjd.com/" TargetMode="External"/><Relationship Id="rId662" Type="http://schemas.openxmlformats.org/officeDocument/2006/relationships/hyperlink" Target="https://www.facebook.com/profile.php?id=100071969621080&amp;mibextid=ZbWKwL" TargetMode="External"/><Relationship Id="rId12" Type="http://schemas.openxmlformats.org/officeDocument/2006/relationships/hyperlink" Target="https://www.facebook.com/share/1E5Z11G964/" TargetMode="External"/><Relationship Id="rId108" Type="http://schemas.openxmlformats.org/officeDocument/2006/relationships/hyperlink" Target="https://x.com/Mohamed45313034" TargetMode="External"/><Relationship Id="rId315" Type="http://schemas.openxmlformats.org/officeDocument/2006/relationships/hyperlink" Target="https://www.linkedin.com/in/mohamed-mostafa-625381255" TargetMode="External"/><Relationship Id="rId522" Type="http://schemas.openxmlformats.org/officeDocument/2006/relationships/hyperlink" Target="https://www.facebook.com/profile.php?id=100068554088751&amp;locale=ar_AR" TargetMode="External"/><Relationship Id="rId96" Type="http://schemas.openxmlformats.org/officeDocument/2006/relationships/hyperlink" Target="https://www.linkedin.com/in/rahma-alimoo-0842012b7?utm_source=share&amp;utm_campaign=share_via&amp;utm_content=profile&amp;utm_medium=android_app" TargetMode="External"/><Relationship Id="rId161" Type="http://schemas.openxmlformats.org/officeDocument/2006/relationships/hyperlink" Target="https://www.facebook.com/profile.php?id=100021765512941&amp;mibextid=ZbWKwL" TargetMode="External"/><Relationship Id="rId399" Type="http://schemas.openxmlformats.org/officeDocument/2006/relationships/hyperlink" Target="https://x.com/mennarashe62803?t=ffbO_1ByhVEYelXWWu1hSw&amp;s=09" TargetMode="External"/><Relationship Id="rId827" Type="http://schemas.openxmlformats.org/officeDocument/2006/relationships/hyperlink" Target="https://discord.gg/qxHyXWWW" TargetMode="External"/><Relationship Id="rId259" Type="http://schemas.openxmlformats.org/officeDocument/2006/relationships/hyperlink" Target="https://www.facebook.com/profile.php?id=100011378223499&amp;mibextid=ZbWKwL" TargetMode="External"/><Relationship Id="rId466" Type="http://schemas.openxmlformats.org/officeDocument/2006/relationships/hyperlink" Target="https://github.com/khaledeldeep99?tab=repositories" TargetMode="External"/><Relationship Id="rId673" Type="http://schemas.openxmlformats.org/officeDocument/2006/relationships/hyperlink" Target="https://www.facebook.com/profile.php?id=100052150834244w" TargetMode="External"/><Relationship Id="rId23" Type="http://schemas.openxmlformats.org/officeDocument/2006/relationships/hyperlink" Target="https://github.com/hananwaleed" TargetMode="External"/><Relationship Id="rId119" Type="http://schemas.openxmlformats.org/officeDocument/2006/relationships/hyperlink" Target="https://www.behance.net/yomnaaly80ff81" TargetMode="External"/><Relationship Id="rId326" Type="http://schemas.openxmlformats.org/officeDocument/2006/relationships/hyperlink" Target="https://www.behance.net/mohamedelkholy38" TargetMode="External"/><Relationship Id="rId533" Type="http://schemas.openxmlformats.org/officeDocument/2006/relationships/hyperlink" Target="https://x.com/Mostafa_ezz19?t=QY1jmjtyrihA-71xfiP1aA&amp;s=09" TargetMode="External"/><Relationship Id="rId740" Type="http://schemas.openxmlformats.org/officeDocument/2006/relationships/hyperlink" Target="https://www.facebook.com/share/N6YrmZRGVm5HMcEk/?mibextid=LQQJ4d" TargetMode="External"/><Relationship Id="rId172" Type="http://schemas.openxmlformats.org/officeDocument/2006/relationships/hyperlink" Target="https://discord.com/channels/@me" TargetMode="External"/><Relationship Id="rId477" Type="http://schemas.openxmlformats.org/officeDocument/2006/relationships/hyperlink" Target="https://www.facebook.com/profile.php?id=100073659169892&amp;mibextid=ZbWKwL" TargetMode="External"/><Relationship Id="rId600" Type="http://schemas.openxmlformats.org/officeDocument/2006/relationships/hyperlink" Target="https://www.facebook.com/profile.php?id=100021746573252&amp;mibextid=ZbWKwL" TargetMode="External"/><Relationship Id="rId684" Type="http://schemas.openxmlformats.org/officeDocument/2006/relationships/hyperlink" Target="https://www.facebook.com/profile.php?id=100077421825110&amp;mibextid=ZbWKwL" TargetMode="External"/><Relationship Id="rId337" Type="http://schemas.openxmlformats.org/officeDocument/2006/relationships/hyperlink" Target="https://www.linkedin.com/in/shahd-ayman-126544337?utm_source=share&amp;utm_campaign=share_via&amp;utm_content=profile&amp;utm_medium=android_app" TargetMode="External"/><Relationship Id="rId34" Type="http://schemas.openxmlformats.org/officeDocument/2006/relationships/hyperlink" Target="http://www.facebook.com/esraa.el.tohamii" TargetMode="External"/><Relationship Id="rId544" Type="http://schemas.openxmlformats.org/officeDocument/2006/relationships/hyperlink" Target="https://www.linkedin.com/in/eman-gabr-714177324?utm_source=share&amp;utm_campaign=share_via&amp;utm_content=profile&amp;utm_medium=android_app" TargetMode="External"/><Relationship Id="rId751" Type="http://schemas.openxmlformats.org/officeDocument/2006/relationships/hyperlink" Target="http://linkedin.com/in/sabri-waleed-b8659b2ba" TargetMode="External"/><Relationship Id="rId183" Type="http://schemas.openxmlformats.org/officeDocument/2006/relationships/hyperlink" Target="https://www.facebook.com/yasmeen.elmesiry?mibextid=ZbWKwL" TargetMode="External"/><Relationship Id="rId390" Type="http://schemas.openxmlformats.org/officeDocument/2006/relationships/hyperlink" Target="https://x.com/YousefElbasouny" TargetMode="External"/><Relationship Id="rId404" Type="http://schemas.openxmlformats.org/officeDocument/2006/relationships/hyperlink" Target="https://www.facebook.com/profile.php?id=61564666443048" TargetMode="External"/><Relationship Id="rId611" Type="http://schemas.openxmlformats.org/officeDocument/2006/relationships/hyperlink" Target="https://www.facebook.com/0fars.eldiip0?mibextid=ZbWKwL" TargetMode="External"/><Relationship Id="rId250" Type="http://schemas.openxmlformats.org/officeDocument/2006/relationships/hyperlink" Target="https://www.linkedin.com/in/sara-nabih-4168212a3/" TargetMode="External"/><Relationship Id="rId488" Type="http://schemas.openxmlformats.org/officeDocument/2006/relationships/hyperlink" Target="https://x.com/ab00delramady" TargetMode="External"/><Relationship Id="rId695" Type="http://schemas.openxmlformats.org/officeDocument/2006/relationships/hyperlink" Target="https://www.facebook.com/lamiaa.dibah" TargetMode="External"/><Relationship Id="rId709" Type="http://schemas.openxmlformats.org/officeDocument/2006/relationships/hyperlink" Target="https://x.com/NouranM66012543" TargetMode="External"/><Relationship Id="rId45" Type="http://schemas.openxmlformats.org/officeDocument/2006/relationships/hyperlink" Target="https://www.facebook.com/profile.php?id=100058357264284&amp;mibextid=ZbWKwL" TargetMode="External"/><Relationship Id="rId110" Type="http://schemas.openxmlformats.org/officeDocument/2006/relationships/hyperlink" Target="https://github.com/fahmyyyyy" TargetMode="External"/><Relationship Id="rId348" Type="http://schemas.openxmlformats.org/officeDocument/2006/relationships/hyperlink" Target="https://x.com/Am_mar77" TargetMode="External"/><Relationship Id="rId555" Type="http://schemas.openxmlformats.org/officeDocument/2006/relationships/hyperlink" Target="https://www.facebook.com/profile.php?id=100015832326623&amp;mibextid=ZbWKwL" TargetMode="External"/><Relationship Id="rId762" Type="http://schemas.openxmlformats.org/officeDocument/2006/relationships/hyperlink" Target="http://www.linkedin.com/in/hagar-ahmad-31816628a" TargetMode="External"/><Relationship Id="rId194" Type="http://schemas.openxmlformats.org/officeDocument/2006/relationships/hyperlink" Target="https://discordapp.com/users/1210715414099660842" TargetMode="External"/><Relationship Id="rId208" Type="http://schemas.openxmlformats.org/officeDocument/2006/relationships/hyperlink" Target="https://www.linkedin.com/in/fares-maaty-289a46296?utm_source=share&amp;utm_campaign=share_via&amp;utm_content=profile&amp;utm_medium=android_app" TargetMode="External"/><Relationship Id="rId415" Type="http://schemas.openxmlformats.org/officeDocument/2006/relationships/hyperlink" Target="https://www.facebook.com/maryamabdallahbelal.belal" TargetMode="External"/><Relationship Id="rId622" Type="http://schemas.openxmlformats.org/officeDocument/2006/relationships/hyperlink" Target="https://www.facebook.com/hishaam.ahmedD" TargetMode="External"/><Relationship Id="rId261" Type="http://schemas.openxmlformats.org/officeDocument/2006/relationships/hyperlink" Target="https://github.com/aboesmaiel1" TargetMode="External"/><Relationship Id="rId499" Type="http://schemas.openxmlformats.org/officeDocument/2006/relationships/hyperlink" Target="https://www.facebook.com/farah.salama.39?mibextid=LQQJ4d" TargetMode="External"/><Relationship Id="rId56" Type="http://schemas.openxmlformats.org/officeDocument/2006/relationships/hyperlink" Target="https://www.linkedin.com/in/rahma-hosam-khadam-66b451337/" TargetMode="External"/><Relationship Id="rId359" Type="http://schemas.openxmlformats.org/officeDocument/2006/relationships/hyperlink" Target="https://x.com/HabibaT60497446?t=5pV__LxA1bI2MrElRB_7ZA&amp;s=09" TargetMode="External"/><Relationship Id="rId566" Type="http://schemas.openxmlformats.org/officeDocument/2006/relationships/hyperlink" Target="https://www.facebook.com/profile.php?id=100040488228934&amp;mibextid=LQQJ4d" TargetMode="External"/><Relationship Id="rId773" Type="http://schemas.openxmlformats.org/officeDocument/2006/relationships/hyperlink" Target="https://discord.gg/RyjNq2T6" TargetMode="External"/><Relationship Id="rId121" Type="http://schemas.openxmlformats.org/officeDocument/2006/relationships/hyperlink" Target="https://www.facebook.com/zyad.ashraf.14811" TargetMode="External"/><Relationship Id="rId219" Type="http://schemas.openxmlformats.org/officeDocument/2006/relationships/hyperlink" Target="https://www.facebook.com/share/1Cuvk22cQ9/" TargetMode="External"/><Relationship Id="rId426" Type="http://schemas.openxmlformats.org/officeDocument/2006/relationships/hyperlink" Target="https://www.linkedin.com/in/farida-almekkawi-a6720329a?utm_source=share&amp;utm_campaign=share_via&amp;utm_content=profile&amp;utm_medium=ios_app" TargetMode="External"/><Relationship Id="rId633" Type="http://schemas.openxmlformats.org/officeDocument/2006/relationships/hyperlink" Target="https://www.facebook.com/zeyad.bedair.10?mibextid=JRoKGi" TargetMode="External"/><Relationship Id="rId67" Type="http://schemas.openxmlformats.org/officeDocument/2006/relationships/hyperlink" Target="https://www.facebook.com/profile.php?id=100025329665470&amp;mibextid=LQQJ4d" TargetMode="External"/><Relationship Id="rId272" Type="http://schemas.openxmlformats.org/officeDocument/2006/relationships/hyperlink" Target="https://x.com/hamza_nader10_" TargetMode="External"/><Relationship Id="rId577" Type="http://schemas.openxmlformats.org/officeDocument/2006/relationships/hyperlink" Target="https://x.com/OAbdalallh20858" TargetMode="External"/><Relationship Id="rId700" Type="http://schemas.openxmlformats.org/officeDocument/2006/relationships/hyperlink" Target="https://x.com/AhmedSalem25545" TargetMode="External"/><Relationship Id="rId132" Type="http://schemas.openxmlformats.org/officeDocument/2006/relationships/hyperlink" Target="https://www.linkedin.com/in/omar-74737b308?utm_source=share&amp;utm_campaign=share_via&amp;utm_content=profile&amp;utm_medium=android_app" TargetMode="External"/><Relationship Id="rId784" Type="http://schemas.openxmlformats.org/officeDocument/2006/relationships/hyperlink" Target="https://www.behance.net/d2cc3a53" TargetMode="External"/><Relationship Id="rId437" Type="http://schemas.openxmlformats.org/officeDocument/2006/relationships/hyperlink" Target="https://www.facebook.com/profile.php?id=100005953952695" TargetMode="External"/><Relationship Id="rId644" Type="http://schemas.openxmlformats.org/officeDocument/2006/relationships/hyperlink" Target="https://www.facebook.com/profile.php?id=100086357412653&amp;mibextid=ZbWKwL" TargetMode="External"/><Relationship Id="rId283" Type="http://schemas.openxmlformats.org/officeDocument/2006/relationships/hyperlink" Target="https://discord.gg/A3PMPa9g" TargetMode="External"/><Relationship Id="rId490" Type="http://schemas.openxmlformats.org/officeDocument/2006/relationships/hyperlink" Target="https://github.com/Abdelrahmanelramady" TargetMode="External"/><Relationship Id="rId504" Type="http://schemas.openxmlformats.org/officeDocument/2006/relationships/hyperlink" Target="https://www.facebook.com/mohamed.abdelazizel?mibextid=ZbWKwL" TargetMode="External"/><Relationship Id="rId711" Type="http://schemas.openxmlformats.org/officeDocument/2006/relationships/hyperlink" Target="https://github.com/Noran-cloud" TargetMode="External"/><Relationship Id="rId78" Type="http://schemas.openxmlformats.org/officeDocument/2006/relationships/hyperlink" Target="https://www.facebook.com/profile.php?id=100094448383261&amp;mibextid=ZbWKwL" TargetMode="External"/><Relationship Id="rId143" Type="http://schemas.openxmlformats.org/officeDocument/2006/relationships/hyperlink" Target="https://www.facebook.com/profile.php?id=100073347042961&amp;mibextid=ZbWKwL" TargetMode="External"/><Relationship Id="rId350" Type="http://schemas.openxmlformats.org/officeDocument/2006/relationships/hyperlink" Target="https://github.com/Ammar10000" TargetMode="External"/><Relationship Id="rId588" Type="http://schemas.openxmlformats.org/officeDocument/2006/relationships/hyperlink" Target="https://www.facebook.com/profile.php?id=100067591009348" TargetMode="External"/><Relationship Id="rId795" Type="http://schemas.openxmlformats.org/officeDocument/2006/relationships/hyperlink" Target="https://x.com/nada_momtaz_2?t=jGKcsMH2J75913Skag3R8g&amp;s=09" TargetMode="External"/><Relationship Id="rId809" Type="http://schemas.openxmlformats.org/officeDocument/2006/relationships/hyperlink" Target="https://www.facebook.com/share/1EopR255UK/" TargetMode="External"/><Relationship Id="rId9" Type="http://schemas.openxmlformats.org/officeDocument/2006/relationships/hyperlink" Target="https://x.com/ah_tem1?t=-OAmXs-aPCJ4q4y15z8Izg&amp;s=09" TargetMode="External"/><Relationship Id="rId210" Type="http://schemas.openxmlformats.org/officeDocument/2006/relationships/hyperlink" Target="http://www.linkedin.com/in/fares-ayman-a213552b2" TargetMode="External"/><Relationship Id="rId448" Type="http://schemas.openxmlformats.org/officeDocument/2006/relationships/hyperlink" Target="https://www.linkedin.com/in/mariam-yehia-37279b27a?utm_source=share&amp;utm_campaign=share_via&amp;utm_content=profile&amp;utm_medium=ios_app" TargetMode="External"/><Relationship Id="rId655" Type="http://schemas.openxmlformats.org/officeDocument/2006/relationships/hyperlink" Target="https://x.com/OMAR_LOKAM?t=gaXM2iOcRwCJOqo2Lf6n4w&amp;s=09" TargetMode="External"/><Relationship Id="rId294" Type="http://schemas.openxmlformats.org/officeDocument/2006/relationships/hyperlink" Target="https://www.facebook.com/helmy.hisham.31?mibextid=ZbWKwL" TargetMode="External"/><Relationship Id="rId308" Type="http://schemas.openxmlformats.org/officeDocument/2006/relationships/hyperlink" Target="https://www.facebook.com/profile.php?id=100049193507428&amp;mibextid=ZbWKwL" TargetMode="External"/><Relationship Id="rId515" Type="http://schemas.openxmlformats.org/officeDocument/2006/relationships/hyperlink" Target="https://www.linkedin.com/in/koks7?utm_source=share&amp;utm_campaign=share_via&amp;utm_content=profile&amp;utm_medium=android_app" TargetMode="External"/><Relationship Id="rId722" Type="http://schemas.openxmlformats.org/officeDocument/2006/relationships/hyperlink" Target="https://www.facebook.com/share/1BkDHLXXnv/" TargetMode="External"/><Relationship Id="rId89" Type="http://schemas.openxmlformats.org/officeDocument/2006/relationships/hyperlink" Target="https://www.facebook.com/profile.php?id=100009445209212&amp;mibextid=ZbWKwL" TargetMode="External"/><Relationship Id="rId154" Type="http://schemas.openxmlformats.org/officeDocument/2006/relationships/hyperlink" Target="https://www.linkedin.com/in/doaa-elhussein-27746a318?utm_source=share&amp;utm_campaign=share_via&amp;utm_content=profile&amp;utm_medium=android_app" TargetMode="External"/><Relationship Id="rId361" Type="http://schemas.openxmlformats.org/officeDocument/2006/relationships/hyperlink" Target="https://www.behance.net/habibatarek40" TargetMode="External"/><Relationship Id="rId599" Type="http://schemas.openxmlformats.org/officeDocument/2006/relationships/hyperlink" Target="https://www.facebook.com/profile.php?id=61566816092576&amp;mibextid=ZbWKwL" TargetMode="External"/><Relationship Id="rId459" Type="http://schemas.openxmlformats.org/officeDocument/2006/relationships/hyperlink" Target="https://www.facebook.com/salmayasser1611?mibextid=ZbWKwL" TargetMode="External"/><Relationship Id="rId666" Type="http://schemas.openxmlformats.org/officeDocument/2006/relationships/hyperlink" Target="https://x.com/ORozzza?t=M0_Pv_wzCvw68VpleYuyDQ&amp;s=09" TargetMode="External"/><Relationship Id="rId16" Type="http://schemas.openxmlformats.org/officeDocument/2006/relationships/hyperlink" Target="https://www.behance.net/mazensaad7" TargetMode="External"/><Relationship Id="rId221" Type="http://schemas.openxmlformats.org/officeDocument/2006/relationships/hyperlink" Target="https://www.linkedin.com/in/yousra-nader-5b4557318?utm_source=share&amp;utm_campaign=share_via&amp;utm_content=profile&amp;utm_medium=android_app" TargetMode="External"/><Relationship Id="rId319" Type="http://schemas.openxmlformats.org/officeDocument/2006/relationships/hyperlink" Target="https://www.linkedin.com/in/zeyad-mohamed-616869321?utm_source=share&amp;utm_campaign=share_via&amp;utm_content=profile&amp;utm_medium=android_app" TargetMode="External"/><Relationship Id="rId526" Type="http://schemas.openxmlformats.org/officeDocument/2006/relationships/hyperlink" Target="https://github.com/Yousef-Sh3ban" TargetMode="External"/><Relationship Id="rId733" Type="http://schemas.openxmlformats.org/officeDocument/2006/relationships/hyperlink" Target="https://www.facebook.com/share/19SdrSRHsL/" TargetMode="External"/><Relationship Id="rId165" Type="http://schemas.openxmlformats.org/officeDocument/2006/relationships/hyperlink" Target="https://x.com/samayaseen61100?t=-QUZlQgC1K8JRj2tFQAi3g&amp;s=09" TargetMode="External"/><Relationship Id="rId372" Type="http://schemas.openxmlformats.org/officeDocument/2006/relationships/hyperlink" Target="https://github.com/mennasheref571/Menna-Sheref.git" TargetMode="External"/><Relationship Id="rId677" Type="http://schemas.openxmlformats.org/officeDocument/2006/relationships/hyperlink" Target="https://www.facebook.com/share/15tKte9Lmt/" TargetMode="External"/><Relationship Id="rId800" Type="http://schemas.openxmlformats.org/officeDocument/2006/relationships/hyperlink" Target="https://www.facebook.com/mohammad.mosad.9212?mibextid=ZbWKwL" TargetMode="External"/><Relationship Id="rId232" Type="http://schemas.openxmlformats.org/officeDocument/2006/relationships/hyperlink" Target="https://github.com/IIMenshawz" TargetMode="External"/><Relationship Id="rId27" Type="http://schemas.openxmlformats.org/officeDocument/2006/relationships/hyperlink" Target="https://www.linkedin.com/in/mohamed-elbaioumy-2a0b1b234?utm_source=share&amp;utm_campaign=share_via&amp;utm_content=profile&amp;utm_medium=ios_app" TargetMode="External"/><Relationship Id="rId537" Type="http://schemas.openxmlformats.org/officeDocument/2006/relationships/hyperlink" Target="https://github.com/SamyOmar-DS/samy-_-omar" TargetMode="External"/><Relationship Id="rId744" Type="http://schemas.openxmlformats.org/officeDocument/2006/relationships/hyperlink" Target="https://github.com/Shahd-404" TargetMode="External"/><Relationship Id="rId80" Type="http://schemas.openxmlformats.org/officeDocument/2006/relationships/hyperlink" Target="https://x.com/KareemGhan52384?t=WXr4q6czaG_FpjY_CsPvow&amp;s=09" TargetMode="External"/><Relationship Id="rId176" Type="http://schemas.openxmlformats.org/officeDocument/2006/relationships/hyperlink" Target="https://www.facebook.com/profile.php?id=61564130426071&amp;mibextid=ZbWKwL" TargetMode="External"/><Relationship Id="rId383" Type="http://schemas.openxmlformats.org/officeDocument/2006/relationships/hyperlink" Target="https://www.behance.net/hassanbadran1" TargetMode="External"/><Relationship Id="rId590" Type="http://schemas.openxmlformats.org/officeDocument/2006/relationships/hyperlink" Target="https://www.facebook.com/profile.php?id=100090230381515&amp;mibextid=ZbWKwL" TargetMode="External"/><Relationship Id="rId604" Type="http://schemas.openxmlformats.org/officeDocument/2006/relationships/hyperlink" Target="https://www.facebook.com/profile.php?id=100038008073901&amp;mibextid=ZbWKwL" TargetMode="External"/><Relationship Id="rId811" Type="http://schemas.openxmlformats.org/officeDocument/2006/relationships/hyperlink" Target="http://www.linkedin.com/in/shahd-ibrahim-92823629b" TargetMode="External"/><Relationship Id="rId243" Type="http://schemas.openxmlformats.org/officeDocument/2006/relationships/hyperlink" Target="https://www.linkedin.com/in/yassin-gouda-92a5b1306/" TargetMode="External"/><Relationship Id="rId450" Type="http://schemas.openxmlformats.org/officeDocument/2006/relationships/hyperlink" Target="https://www.linkedin.com/in/mhamed-abdelghany" TargetMode="External"/><Relationship Id="rId688" Type="http://schemas.openxmlformats.org/officeDocument/2006/relationships/hyperlink" Target="https://www.facebook.com/profile.php?id=61558491870799&amp;mibextid=ZbWKwL" TargetMode="External"/><Relationship Id="rId38" Type="http://schemas.openxmlformats.org/officeDocument/2006/relationships/hyperlink" Target="https://www.behance.net/sosomostafa1" TargetMode="External"/><Relationship Id="rId103" Type="http://schemas.openxmlformats.org/officeDocument/2006/relationships/hyperlink" Target="https://www.facebook.com/profile.php?id=100063549968094&amp;mibextid=ZbWKwL" TargetMode="External"/><Relationship Id="rId310" Type="http://schemas.openxmlformats.org/officeDocument/2006/relationships/hyperlink" Target="https://x.com/itsboda_74" TargetMode="External"/><Relationship Id="rId548" Type="http://schemas.openxmlformats.org/officeDocument/2006/relationships/hyperlink" Target="https://www.linkedin.com/in/yasmin-mohammed-8356b4305?utm_source=share&amp;utm_campaign=share_via&amp;utm_content=profile&amp;utm_medium=ios_app" TargetMode="External"/><Relationship Id="rId755" Type="http://schemas.openxmlformats.org/officeDocument/2006/relationships/hyperlink" Target="https://www.facebook.com/profile.php?id=100024575921181" TargetMode="External"/><Relationship Id="rId91" Type="http://schemas.openxmlformats.org/officeDocument/2006/relationships/hyperlink" Target="https://www.facebook.com/ganna.elkhen.77?mibextid=ZbWKwL" TargetMode="External"/><Relationship Id="rId187" Type="http://schemas.openxmlformats.org/officeDocument/2006/relationships/hyperlink" Target="http://www.linkedin.com/in/zeiad-gamal-7b8240248" TargetMode="External"/><Relationship Id="rId394" Type="http://schemas.openxmlformats.org/officeDocument/2006/relationships/hyperlink" Target="https://www.facebook.com/osama.anwar.3701?mibextid=ZbWKwL" TargetMode="External"/><Relationship Id="rId408" Type="http://schemas.openxmlformats.org/officeDocument/2006/relationships/hyperlink" Target="https://www.facebook.com/yyahya.yyahya.167?mibextid=ZbWKwL" TargetMode="External"/><Relationship Id="rId615" Type="http://schemas.openxmlformats.org/officeDocument/2006/relationships/hyperlink" Target="https://www.linkedin.com/in/mohammed-mustafa-4088961b5" TargetMode="External"/><Relationship Id="rId822" Type="http://schemas.openxmlformats.org/officeDocument/2006/relationships/hyperlink" Target="https://www.facebook.com/profile.php?id=100046697760640" TargetMode="External"/><Relationship Id="rId254" Type="http://schemas.openxmlformats.org/officeDocument/2006/relationships/hyperlink" Target="https://www.facebook.com/profile.php?id=100070107522966&amp;mibextid=ZbWKwL" TargetMode="External"/><Relationship Id="rId699" Type="http://schemas.openxmlformats.org/officeDocument/2006/relationships/hyperlink" Target="https://www.facebook.com/profile.php?id=100006662254259" TargetMode="External"/><Relationship Id="rId49" Type="http://schemas.openxmlformats.org/officeDocument/2006/relationships/hyperlink" Target="https://www.facebook.com/gogosadek.ahmed?mibextid=ZbWKwL" TargetMode="External"/><Relationship Id="rId114" Type="http://schemas.openxmlformats.org/officeDocument/2006/relationships/hyperlink" Target="https://www.facebook.com/malak.elgizawy.39?mibextid=ZbWKwL" TargetMode="External"/><Relationship Id="rId461" Type="http://schemas.openxmlformats.org/officeDocument/2006/relationships/hyperlink" Target="https://www.linkedin.com/in/salma-yasser-276a56246?utm_source=share&amp;utm_campaign=share_via&amp;utm_content=profile&amp;utm_medium=android_app" TargetMode="External"/><Relationship Id="rId559" Type="http://schemas.openxmlformats.org/officeDocument/2006/relationships/hyperlink" Target="https://github.com/mohamednaderrr" TargetMode="External"/><Relationship Id="rId766" Type="http://schemas.openxmlformats.org/officeDocument/2006/relationships/hyperlink" Target="https://x.com/mariamsabe57?t=Dcs_zyTiXXZWy4gnSzX22A&amp;s=09" TargetMode="External"/><Relationship Id="rId198" Type="http://schemas.openxmlformats.org/officeDocument/2006/relationships/hyperlink" Target="https://www.facebook.com/profile.php?id=100010962244392&amp;mibextid=ZbWKwL" TargetMode="External"/><Relationship Id="rId321" Type="http://schemas.openxmlformats.org/officeDocument/2006/relationships/hyperlink" Target="http://www.discord.com/" TargetMode="External"/><Relationship Id="rId419" Type="http://schemas.openxmlformats.org/officeDocument/2006/relationships/hyperlink" Target="https://x.com/EsraaMo07592744?t=rYYssPf1y8ZIKtGkXiY8yQ&amp;s=09" TargetMode="External"/><Relationship Id="rId626" Type="http://schemas.openxmlformats.org/officeDocument/2006/relationships/hyperlink" Target="https://x.com/Dina_Ibrahim23?t=zisJewjJwJFdnxNplvriTQ&amp;s=09" TargetMode="External"/><Relationship Id="rId833" Type="http://schemas.openxmlformats.org/officeDocument/2006/relationships/hyperlink" Target="https://x.com/Eslam_elzamkan" TargetMode="External"/><Relationship Id="rId265" Type="http://schemas.openxmlformats.org/officeDocument/2006/relationships/hyperlink" Target="https://www.facebook.com/karim.elsayed.773776?mibextid=LQQJ4d" TargetMode="External"/><Relationship Id="rId472" Type="http://schemas.openxmlformats.org/officeDocument/2006/relationships/hyperlink" Target="https://github.com/zyadGaweesh" TargetMode="External"/><Relationship Id="rId125" Type="http://schemas.openxmlformats.org/officeDocument/2006/relationships/hyperlink" Target="https://www.linkedin.com/in/yasmin-yaser-139885294?utm_source=share&amp;utm_campaign=share_via&amp;utm_content=profile&amp;utm_medium=android_app" TargetMode="External"/><Relationship Id="rId332" Type="http://schemas.openxmlformats.org/officeDocument/2006/relationships/hyperlink" Target="https://www.facebook.com/profile.php?id=100024984033394&amp;mibextid=ZbWKwL" TargetMode="External"/><Relationship Id="rId777" Type="http://schemas.openxmlformats.org/officeDocument/2006/relationships/hyperlink" Target="https://discord.gg/Xhk23mEB" TargetMode="External"/><Relationship Id="rId637" Type="http://schemas.openxmlformats.org/officeDocument/2006/relationships/hyperlink" Target="http://linkedin.com/in/yomna-khaled-0429692a9" TargetMode="External"/><Relationship Id="rId276" Type="http://schemas.openxmlformats.org/officeDocument/2006/relationships/hyperlink" Target="https://www.linkedin.com/in/abdallah-emish-676864282?utm_source=share&amp;utm_campaign=share_via&amp;utm_content=profile&amp;utm_medium=ios_app" TargetMode="External"/><Relationship Id="rId483" Type="http://schemas.openxmlformats.org/officeDocument/2006/relationships/hyperlink" Target="https://www.linkedin.com/in/hossam-shehata-0759a7317?utm_source=share&amp;utm_campaign=share_via&amp;utm_content=profile&amp;utm_medium=android_app" TargetMode="External"/><Relationship Id="rId690" Type="http://schemas.openxmlformats.org/officeDocument/2006/relationships/hyperlink" Target="https://www.facebook.com/profile.php?id=61558491870799&amp;mibextid=ZbWKwL" TargetMode="External"/><Relationship Id="rId704" Type="http://schemas.openxmlformats.org/officeDocument/2006/relationships/hyperlink" Target="https://twitter.com/RModalal" TargetMode="External"/><Relationship Id="rId40" Type="http://schemas.openxmlformats.org/officeDocument/2006/relationships/hyperlink" Target="http://facebook.com/" TargetMode="External"/><Relationship Id="rId136" Type="http://schemas.openxmlformats.org/officeDocument/2006/relationships/hyperlink" Target="https://www.linkedin.com/in/ahmed-emad-037202320?trk=contact-info" TargetMode="External"/><Relationship Id="rId343" Type="http://schemas.openxmlformats.org/officeDocument/2006/relationships/hyperlink" Target="https://www.facebook.com/shams.mohammed.50309277?mibextid=ZbWKwL" TargetMode="External"/><Relationship Id="rId550" Type="http://schemas.openxmlformats.org/officeDocument/2006/relationships/hyperlink" Target="https://www.facebook.com/profile.php?id=100025116093970&amp;mibextid=ZbWKwL" TargetMode="External"/><Relationship Id="rId788" Type="http://schemas.openxmlformats.org/officeDocument/2006/relationships/hyperlink" Target="https://www.facebook.com/share/GZEv18qukgSnJT2x/?mibextid=LQQJ4d" TargetMode="External"/><Relationship Id="rId203" Type="http://schemas.openxmlformats.org/officeDocument/2006/relationships/hyperlink" Target="https://www.linkedin.com/in/youssef-mohammed-6893a031b/" TargetMode="External"/><Relationship Id="rId648" Type="http://schemas.openxmlformats.org/officeDocument/2006/relationships/hyperlink" Target="https://discord.com/users/1047586923855741048" TargetMode="External"/><Relationship Id="rId287" Type="http://schemas.openxmlformats.org/officeDocument/2006/relationships/hyperlink" Target="https://www.facebook.com/abo.yehia.01?mibextid=ZbWKwL" TargetMode="External"/><Relationship Id="rId410" Type="http://schemas.openxmlformats.org/officeDocument/2006/relationships/hyperlink" Target="https://www.linkedin.com/in/yahya-fahmy-a178a2235?utm_source=share&amp;utm_campaign=share_via&amp;utm_content=profile&amp;utm_medium=android_app" TargetMode="External"/><Relationship Id="rId494" Type="http://schemas.openxmlformats.org/officeDocument/2006/relationships/hyperlink" Target="https://www.facebook.com/Mo7ammed.Ja3far" TargetMode="External"/><Relationship Id="rId508" Type="http://schemas.openxmlformats.org/officeDocument/2006/relationships/hyperlink" Target="https://www.behance.net/mohamedmagdy581" TargetMode="External"/><Relationship Id="rId715" Type="http://schemas.openxmlformats.org/officeDocument/2006/relationships/hyperlink" Target="https://github.com/Minnah77" TargetMode="External"/><Relationship Id="rId147" Type="http://schemas.openxmlformats.org/officeDocument/2006/relationships/hyperlink" Target="https://x.com/MouhammedD94174" TargetMode="External"/><Relationship Id="rId354" Type="http://schemas.openxmlformats.org/officeDocument/2006/relationships/hyperlink" Target="https://www.facebook.com/mohamed.rehab.7777" TargetMode="External"/><Relationship Id="rId799" Type="http://schemas.openxmlformats.org/officeDocument/2006/relationships/hyperlink" Target="https://www.facebook.com/profile.php?id=100094929424709&amp;mibextid=ZbWKwL" TargetMode="External"/><Relationship Id="rId51" Type="http://schemas.openxmlformats.org/officeDocument/2006/relationships/hyperlink" Target="https://github.com/nagwasadek" TargetMode="External"/><Relationship Id="rId561" Type="http://schemas.openxmlformats.org/officeDocument/2006/relationships/hyperlink" Target="https://www.facebook.com/profile.php?id=100069021003621&amp;mibextid=ZbWKwL" TargetMode="External"/><Relationship Id="rId659" Type="http://schemas.openxmlformats.org/officeDocument/2006/relationships/hyperlink" Target="https://discord.gg/Tf3FQQbq" TargetMode="External"/><Relationship Id="rId214" Type="http://schemas.openxmlformats.org/officeDocument/2006/relationships/hyperlink" Target="https://www.linkedin.com/in/yasmin-hussein-aa4a89332?utm_source=share&amp;utm_campaign=share_via&amp;utm_content=profile&amp;utm_medium=android_app" TargetMode="External"/><Relationship Id="rId298" Type="http://schemas.openxmlformats.org/officeDocument/2006/relationships/hyperlink" Target="https://www.facebook.com/profile.php?id=100017823488115&amp;mibextid=ZbWKwL" TargetMode="External"/><Relationship Id="rId421" Type="http://schemas.openxmlformats.org/officeDocument/2006/relationships/hyperlink" Target="https://www.facebook.com/profile.php?id=61551146000364&amp;mibextid=LQQJ4d" TargetMode="External"/><Relationship Id="rId519" Type="http://schemas.openxmlformats.org/officeDocument/2006/relationships/hyperlink" Target="https://x.com/Loai_Mohameddd" TargetMode="External"/><Relationship Id="rId158" Type="http://schemas.openxmlformats.org/officeDocument/2006/relationships/hyperlink" Target="https://www.linkedin.com/in/mohamed-emad-6a0b07318/" TargetMode="External"/><Relationship Id="rId726" Type="http://schemas.openxmlformats.org/officeDocument/2006/relationships/hyperlink" Target="https://www.linkedin.com/in/rawan-esmail-38601433a/" TargetMode="External"/><Relationship Id="rId62" Type="http://schemas.openxmlformats.org/officeDocument/2006/relationships/hyperlink" Target="https://www.linkedin.com/in/doha-hussein-5aa88a299?utm_source=share&amp;utm_campaign=share_via&amp;utm_content=profile&amp;utm_medium=android_app" TargetMode="External"/><Relationship Id="rId365" Type="http://schemas.openxmlformats.org/officeDocument/2006/relationships/hyperlink" Target="https://www.linkedin.com/in/menna-maged-280b00337?utm_source=share&amp;utm_campaign=share_via&amp;utm_content=profile&amp;utm_medium=ios_app" TargetMode="External"/><Relationship Id="rId572" Type="http://schemas.openxmlformats.org/officeDocument/2006/relationships/hyperlink" Target="https://www.facebook.com/profile.php?id=100010602588546&amp;mibextid=LQQJ4d" TargetMode="External"/><Relationship Id="rId225" Type="http://schemas.openxmlformats.org/officeDocument/2006/relationships/hyperlink" Target="https://x.com/EssamNoorr26507?t=jKwWMlx7Lv58NIpGyVjKEw&amp;s=09" TargetMode="External"/><Relationship Id="rId432" Type="http://schemas.openxmlformats.org/officeDocument/2006/relationships/hyperlink" Target="https://github.com/Khaled-Megahed" TargetMode="External"/><Relationship Id="rId737" Type="http://schemas.openxmlformats.org/officeDocument/2006/relationships/hyperlink" Target="https://github.com/Martina-511" TargetMode="External"/><Relationship Id="rId73" Type="http://schemas.openxmlformats.org/officeDocument/2006/relationships/hyperlink" Target="https://www.facebook.com/share/15RVvPZFuz/?mibextid=qi2Omg" TargetMode="External"/><Relationship Id="rId169" Type="http://schemas.openxmlformats.org/officeDocument/2006/relationships/hyperlink" Target="https://www.facebook.com/profile.php?id=100009060334855&amp;mibextid=ZbWKwL" TargetMode="External"/><Relationship Id="rId376" Type="http://schemas.openxmlformats.org/officeDocument/2006/relationships/hyperlink" Target="https://www.facebook.com/rahma.alnabarawy" TargetMode="External"/><Relationship Id="rId583" Type="http://schemas.openxmlformats.org/officeDocument/2006/relationships/hyperlink" Target="https://www.facebook.com/magarsalah/" TargetMode="External"/><Relationship Id="rId790" Type="http://schemas.openxmlformats.org/officeDocument/2006/relationships/hyperlink" Target="https://www.facebook.com/rawan.tarek.14661?mibextid=ZbWKwL" TargetMode="External"/><Relationship Id="rId804" Type="http://schemas.openxmlformats.org/officeDocument/2006/relationships/hyperlink" Target="https://x.com/MohamedElz_122?t=bet33I35biCsaWkC0IvkGg&amp;s=09" TargetMode="External"/><Relationship Id="rId4" Type="http://schemas.openxmlformats.org/officeDocument/2006/relationships/hyperlink" Target="https://www.facebook.com/Seham.Mohsen4/" TargetMode="External"/><Relationship Id="rId236" Type="http://schemas.openxmlformats.org/officeDocument/2006/relationships/hyperlink" Target="https://www.linkedin.com/in/reda-saad-570683269/" TargetMode="External"/><Relationship Id="rId443" Type="http://schemas.openxmlformats.org/officeDocument/2006/relationships/hyperlink" Target="https://www.facebook.com/mariam.taha.1217?mibextid=ZbWKwL" TargetMode="External"/><Relationship Id="rId650" Type="http://schemas.openxmlformats.org/officeDocument/2006/relationships/hyperlink" Target="https://www.linkedin.com/in/mohamed-ayman-984a8931b/" TargetMode="External"/><Relationship Id="rId303" Type="http://schemas.openxmlformats.org/officeDocument/2006/relationships/hyperlink" Target="https://www.facebook.com/mahmoudmira5600" TargetMode="External"/><Relationship Id="rId748" Type="http://schemas.openxmlformats.org/officeDocument/2006/relationships/hyperlink" Target="https://github.com/khaledahmedmossad" TargetMode="External"/><Relationship Id="rId84" Type="http://schemas.openxmlformats.org/officeDocument/2006/relationships/hyperlink" Target="https://github.com/PS-Manar-El7abbal" TargetMode="External"/><Relationship Id="rId387" Type="http://schemas.openxmlformats.org/officeDocument/2006/relationships/hyperlink" Target="https://www.facebook.com/profile.php?id=61555144246324&amp;mibextid=ZbWKwL" TargetMode="External"/><Relationship Id="rId510" Type="http://schemas.openxmlformats.org/officeDocument/2006/relationships/hyperlink" Target="https://www.linkedin.com/in/yasmin-hassan-267891252?utm_source=share&amp;utm_campaign=share_via&amp;utm_content=profile&amp;utm_medium=android_app" TargetMode="External"/><Relationship Id="rId594" Type="http://schemas.openxmlformats.org/officeDocument/2006/relationships/hyperlink" Target="https://www.facebook.com/profile.php?id=61566169385330" TargetMode="External"/><Relationship Id="rId608" Type="http://schemas.openxmlformats.org/officeDocument/2006/relationships/hyperlink" Target="https://x.com/MohamedELS79988?t=fM4F3Fd_dMq-kCWpvCmqbQ&amp;s=09" TargetMode="External"/><Relationship Id="rId815" Type="http://schemas.openxmlformats.org/officeDocument/2006/relationships/hyperlink" Target="https://www.facebook.com/share/k7YAN4Jn7Lxdeheu/?mibextid=LQQJ4d" TargetMode="External"/><Relationship Id="rId247" Type="http://schemas.openxmlformats.org/officeDocument/2006/relationships/hyperlink" Target="https://www.facebook.com/profile.php?id=100059549854157&amp;mibextid=ZbWKwL" TargetMode="External"/><Relationship Id="rId107" Type="http://schemas.openxmlformats.org/officeDocument/2006/relationships/hyperlink" Target="https://m.twitch.tv/m10fahmy/home" TargetMode="External"/><Relationship Id="rId454" Type="http://schemas.openxmlformats.org/officeDocument/2006/relationships/hyperlink" Target="https://github.com/Rawanelshenawy22" TargetMode="External"/><Relationship Id="rId661" Type="http://schemas.openxmlformats.org/officeDocument/2006/relationships/hyperlink" Target="https://www.facebook.com/profile.php?id=61564650612652&amp;mibextid=ZbWKwL" TargetMode="External"/><Relationship Id="rId759" Type="http://schemas.openxmlformats.org/officeDocument/2006/relationships/hyperlink" Target="https://www.behance.net/yossifelbrmbaly" TargetMode="External"/><Relationship Id="rId11" Type="http://schemas.openxmlformats.org/officeDocument/2006/relationships/hyperlink" Target="https://www.facebook.com/profile.php?id=100058357264284&amp;mibextid=ZbWKwL" TargetMode="External"/><Relationship Id="rId314" Type="http://schemas.openxmlformats.org/officeDocument/2006/relationships/hyperlink" Target="https://x.com/mohamedelmoorsy?t=OlvGaglM1k49zL3lix7XfQ&amp;s=09" TargetMode="External"/><Relationship Id="rId398" Type="http://schemas.openxmlformats.org/officeDocument/2006/relationships/hyperlink" Target="https://discord.com/channels/@me" TargetMode="External"/><Relationship Id="rId521" Type="http://schemas.openxmlformats.org/officeDocument/2006/relationships/hyperlink" Target="https://github.com/LoaiMohamedd" TargetMode="External"/><Relationship Id="rId619" Type="http://schemas.openxmlformats.org/officeDocument/2006/relationships/hyperlink" Target="https://www.linkedin.com/in/jana-elshayb-3a9559287?utm_source=share&amp;utm_campaign=share_via&amp;utm_content=profile&amp;utm_medium=android_app" TargetMode="External"/><Relationship Id="rId95" Type="http://schemas.openxmlformats.org/officeDocument/2006/relationships/hyperlink" Target="https://x.com/medoria565771?t=PDctazARFsJnwwgAPH4KBw&amp;s=08" TargetMode="External"/><Relationship Id="rId160" Type="http://schemas.openxmlformats.org/officeDocument/2006/relationships/hyperlink" Target="https://www.facebook.com/profile.php?id=100021765512941&amp;mibextid=ZbWKwL" TargetMode="External"/><Relationship Id="rId826" Type="http://schemas.openxmlformats.org/officeDocument/2006/relationships/hyperlink" Target="https://www.instagram.com/shimaa.osama1_5/profilecard/?igsh=cDl6NjlzaTZ4YWJ5" TargetMode="External"/><Relationship Id="rId258" Type="http://schemas.openxmlformats.org/officeDocument/2006/relationships/hyperlink" Target="https://www.linkedin.com/in/menna-mahmoud-427746336?utm_source=share&amp;utm_campaign=share_via&amp;utm_content=profile&amp;utm_medium=android_app" TargetMode="External"/><Relationship Id="rId465" Type="http://schemas.openxmlformats.org/officeDocument/2006/relationships/hyperlink" Target="https://www.linkedin.com/in/khaled-eldeep-b50a9230a?utm_source=share&amp;utm_campaign=share_via&amp;utm_content=profile&amp;utm_medium=ios_app" TargetMode="External"/><Relationship Id="rId672" Type="http://schemas.openxmlformats.org/officeDocument/2006/relationships/hyperlink" Target="https://github.com/settings/profile" TargetMode="External"/><Relationship Id="rId22" Type="http://schemas.openxmlformats.org/officeDocument/2006/relationships/hyperlink" Target="https://www.linkedin.com/in/hanan-waleed-a716322b7?utm_source=share&amp;utm_campaign=share_via&amp;utm_content=profile&amp;utm_medium=android_app" TargetMode="External"/><Relationship Id="rId118" Type="http://schemas.openxmlformats.org/officeDocument/2006/relationships/hyperlink" Target="https://www.linkedin.com/in/yomna-aly-4a36b3291?utm_source=share&amp;utm_campaign=share_via&amp;utm_content=profile&amp;utm_medium=android_app" TargetMode="External"/><Relationship Id="rId325" Type="http://schemas.openxmlformats.org/officeDocument/2006/relationships/hyperlink" Target="http://www.linkedin.com/in/mohamed-taha-057422287" TargetMode="External"/><Relationship Id="rId532" Type="http://schemas.openxmlformats.org/officeDocument/2006/relationships/hyperlink" Target="https://www.facebook.com/mostafa.ezz.9275?mibextid=ZbWKwL" TargetMode="External"/><Relationship Id="rId171" Type="http://schemas.openxmlformats.org/officeDocument/2006/relationships/hyperlink" Target="https://www.facebook.com/profile.php?id=100057069222022&amp;locale=ar_AR" TargetMode="External"/><Relationship Id="rId269" Type="http://schemas.openxmlformats.org/officeDocument/2006/relationships/hyperlink" Target="https://www.linkedin.com/in/omar-ayman-62516b2b9?utm_source=share&amp;utm_campaign=share_via&amp;utm_content=profile&amp;utm_medium=android_app" TargetMode="External"/><Relationship Id="rId476" Type="http://schemas.openxmlformats.org/officeDocument/2006/relationships/hyperlink" Target="https://www.linkedin.com/in/salah-fathy-2219b525b?utm_source=share&amp;utm_campaign=share_via&amp;utm_content=profile&amp;utm_medium=android_app" TargetMode="External"/><Relationship Id="rId683" Type="http://schemas.openxmlformats.org/officeDocument/2006/relationships/hyperlink" Target="https://www.facebook.com/mohamed.dief.3532?mibextid=ZbWKwL" TargetMode="External"/><Relationship Id="rId33" Type="http://schemas.openxmlformats.org/officeDocument/2006/relationships/hyperlink" Target="https://www.behance.net/emanmahmoud82" TargetMode="External"/><Relationship Id="rId129" Type="http://schemas.openxmlformats.org/officeDocument/2006/relationships/hyperlink" Target="https://www.linkedin.com/in/fares-ghandour-29039a25b?utm_source=share&amp;utm_campaign=share_via&amp;utm_content=profile&amp;utm_medium=ios_app" TargetMode="External"/><Relationship Id="rId336" Type="http://schemas.openxmlformats.org/officeDocument/2006/relationships/hyperlink" Target="https://www.facebook.com/shahd.ayman.520900?mibextid=ZbWKwL" TargetMode="External"/><Relationship Id="rId543" Type="http://schemas.openxmlformats.org/officeDocument/2006/relationships/hyperlink" Target="https://x.com/emangabr53?t=RQ8aC-c-s1IXelOAO7LFQw&amp;s=09" TargetMode="External"/><Relationship Id="rId182" Type="http://schemas.openxmlformats.org/officeDocument/2006/relationships/hyperlink" Target="https://www.facebook.com/share/14haxRTehW/" TargetMode="External"/><Relationship Id="rId403" Type="http://schemas.openxmlformats.org/officeDocument/2006/relationships/hyperlink" Target="https://www.facebook.com/mohamod.ahmed.9?mibextid=JRoKGi" TargetMode="External"/><Relationship Id="rId750" Type="http://schemas.openxmlformats.org/officeDocument/2006/relationships/hyperlink" Target="https://www.facebook.com/share/17x2S7jE3y/?mibextid=LQQJ4d" TargetMode="External"/><Relationship Id="rId487" Type="http://schemas.openxmlformats.org/officeDocument/2006/relationships/hyperlink" Target="https://www.facebook.com/share/SGhDK4om94Kyzx5R/?mibextid=" TargetMode="External"/><Relationship Id="rId610" Type="http://schemas.openxmlformats.org/officeDocument/2006/relationships/hyperlink" Target="https://www.facebook.com/hema.hassan.14418101?mibextid=ZbWKwL" TargetMode="External"/><Relationship Id="rId694" Type="http://schemas.openxmlformats.org/officeDocument/2006/relationships/hyperlink" Target="https://www.facebook.com/profile.php?id=61568962090031&amp;mibextid=ZbWKwLz" TargetMode="External"/><Relationship Id="rId708" Type="http://schemas.openxmlformats.org/officeDocument/2006/relationships/hyperlink" Target="https://www.facebook.com/nouran.mohamed.90" TargetMode="External"/><Relationship Id="rId347" Type="http://schemas.openxmlformats.org/officeDocument/2006/relationships/hyperlink" Target="http://discordapp.com/users/1202687550347812904" TargetMode="External"/><Relationship Id="rId44" Type="http://schemas.openxmlformats.org/officeDocument/2006/relationships/hyperlink" Target="http://behance.com/" TargetMode="External"/><Relationship Id="rId554" Type="http://schemas.openxmlformats.org/officeDocument/2006/relationships/hyperlink" Target="https://www.behance.net/omarahmed728" TargetMode="External"/><Relationship Id="rId761" Type="http://schemas.openxmlformats.org/officeDocument/2006/relationships/hyperlink" Target="https://www.facebook.com/share/ahUhCYXr2KaBcvZ2/?mibextid=LQQJ4d" TargetMode="External"/><Relationship Id="rId193" Type="http://schemas.openxmlformats.org/officeDocument/2006/relationships/hyperlink" Target="https://www.facebook.com/alaa.nasr.39904?mibextid=ZbWKwL" TargetMode="External"/><Relationship Id="rId207" Type="http://schemas.openxmlformats.org/officeDocument/2006/relationships/hyperlink" Target="https://x.com/fares_maaty" TargetMode="External"/><Relationship Id="rId414" Type="http://schemas.openxmlformats.org/officeDocument/2006/relationships/hyperlink" Target="https://www.linkedin.com/in/nour-elsharkawy-9139b22a8?utm_source=share&amp;utm_campaign=share_via&amp;utm_content=profile&amp;utm_medium=android_app" TargetMode="External"/><Relationship Id="rId498" Type="http://schemas.openxmlformats.org/officeDocument/2006/relationships/hyperlink" Target="https://www.linkedin.com/in/yousef-el-esawy-a0b682321/" TargetMode="External"/><Relationship Id="rId621" Type="http://schemas.openxmlformats.org/officeDocument/2006/relationships/hyperlink" Target="https://www.facebook.com/mohamed.elshenawy.315428?mibextid=ZbWKwL" TargetMode="External"/><Relationship Id="rId260" Type="http://schemas.openxmlformats.org/officeDocument/2006/relationships/hyperlink" Target="https://www.linkedin.com/in/ahmed-esmaiel-b55918323?utm_source=share&amp;utm_campaign=share_via&amp;utm_content=profile&amp;utm_medium=android_app" TargetMode="External"/><Relationship Id="rId719" Type="http://schemas.openxmlformats.org/officeDocument/2006/relationships/hyperlink" Target="https://www.facebook.com/hanaanabil.22?mibextid=ZbWKw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57"/>
  <sheetViews>
    <sheetView tabSelected="1" workbookViewId="0">
      <selection activeCell="B2" sqref="B2"/>
    </sheetView>
  </sheetViews>
  <sheetFormatPr defaultColWidth="12.6640625" defaultRowHeight="15.75" customHeight="1"/>
  <cols>
    <col min="1" max="1" width="37.21875" customWidth="1"/>
  </cols>
  <sheetData>
    <row r="1" spans="1:2">
      <c r="A1" s="1" t="s">
        <v>434</v>
      </c>
      <c r="B1" s="1" t="s">
        <v>435</v>
      </c>
    </row>
    <row r="2" spans="1:2">
      <c r="A2" s="2" t="s">
        <v>0</v>
      </c>
      <c r="B2" s="2" t="s">
        <v>1</v>
      </c>
    </row>
    <row r="3" spans="1:2">
      <c r="A3" s="2" t="s">
        <v>3</v>
      </c>
      <c r="B3" s="2" t="s">
        <v>2</v>
      </c>
    </row>
    <row r="4" spans="1:2">
      <c r="A4" s="3" t="s">
        <v>5</v>
      </c>
      <c r="B4" s="3" t="s">
        <v>2</v>
      </c>
    </row>
    <row r="5" spans="1:2">
      <c r="A5" s="2" t="s">
        <v>6</v>
      </c>
      <c r="B5" s="2" t="s">
        <v>7</v>
      </c>
    </row>
    <row r="6" spans="1:2">
      <c r="A6" s="2" t="s">
        <v>8</v>
      </c>
      <c r="B6" s="2" t="s">
        <v>7</v>
      </c>
    </row>
    <row r="7" spans="1:2">
      <c r="A7" s="3" t="s">
        <v>9</v>
      </c>
      <c r="B7" s="3" t="s">
        <v>7</v>
      </c>
    </row>
    <row r="8" spans="1:2">
      <c r="A8" s="4" t="s">
        <v>10</v>
      </c>
      <c r="B8" s="4" t="s">
        <v>11</v>
      </c>
    </row>
    <row r="9" spans="1:2">
      <c r="A9" s="2" t="s">
        <v>12</v>
      </c>
      <c r="B9" s="2" t="s">
        <v>7</v>
      </c>
    </row>
    <row r="10" spans="1:2">
      <c r="A10" s="4" t="s">
        <v>13</v>
      </c>
      <c r="B10" s="4" t="s">
        <v>7</v>
      </c>
    </row>
    <row r="11" spans="1:2">
      <c r="A11" s="3" t="s">
        <v>14</v>
      </c>
      <c r="B11" s="3" t="s">
        <v>2</v>
      </c>
    </row>
    <row r="12" spans="1:2">
      <c r="A12" s="5" t="s">
        <v>15</v>
      </c>
      <c r="B12" s="5" t="s">
        <v>7</v>
      </c>
    </row>
    <row r="13" spans="1:2">
      <c r="A13" s="2" t="s">
        <v>16</v>
      </c>
      <c r="B13" s="2" t="s">
        <v>7</v>
      </c>
    </row>
    <row r="14" spans="1:2">
      <c r="A14" s="6" t="s">
        <v>17</v>
      </c>
      <c r="B14" s="6" t="s">
        <v>7</v>
      </c>
    </row>
    <row r="15" spans="1:2">
      <c r="A15" s="3" t="s">
        <v>18</v>
      </c>
      <c r="B15" s="3" t="s">
        <v>7</v>
      </c>
    </row>
    <row r="16" spans="1:2">
      <c r="A16" s="2" t="s">
        <v>19</v>
      </c>
      <c r="B16" s="2" t="s">
        <v>2</v>
      </c>
    </row>
    <row r="17" spans="1:2">
      <c r="A17" s="4" t="s">
        <v>20</v>
      </c>
      <c r="B17" s="4" t="s">
        <v>7</v>
      </c>
    </row>
    <row r="18" spans="1:2">
      <c r="A18" s="2" t="s">
        <v>21</v>
      </c>
      <c r="B18" s="2" t="s">
        <v>436</v>
      </c>
    </row>
    <row r="19" spans="1:2">
      <c r="A19" s="2" t="s">
        <v>22</v>
      </c>
      <c r="B19" s="2" t="s">
        <v>7</v>
      </c>
    </row>
    <row r="20" spans="1:2">
      <c r="A20" s="2" t="s">
        <v>23</v>
      </c>
      <c r="B20" s="2" t="s">
        <v>7</v>
      </c>
    </row>
    <row r="21" spans="1:2">
      <c r="A21" s="2" t="s">
        <v>24</v>
      </c>
      <c r="B21" s="2" t="s">
        <v>7</v>
      </c>
    </row>
    <row r="22" spans="1:2">
      <c r="A22" s="6" t="s">
        <v>25</v>
      </c>
      <c r="B22" s="6" t="s">
        <v>2</v>
      </c>
    </row>
    <row r="23" spans="1:2">
      <c r="A23" s="2" t="s">
        <v>26</v>
      </c>
      <c r="B23" s="2" t="s">
        <v>7</v>
      </c>
    </row>
    <row r="24" spans="1:2">
      <c r="A24" s="4" t="s">
        <v>27</v>
      </c>
      <c r="B24" s="4" t="s">
        <v>7</v>
      </c>
    </row>
    <row r="25" spans="1:2">
      <c r="A25" s="2" t="s">
        <v>28</v>
      </c>
      <c r="B25" s="2" t="s">
        <v>2</v>
      </c>
    </row>
    <row r="26" spans="1:2">
      <c r="A26" s="3" t="s">
        <v>29</v>
      </c>
      <c r="B26" s="3" t="s">
        <v>7</v>
      </c>
    </row>
    <row r="27" spans="1:2">
      <c r="A27" s="7" t="s">
        <v>30</v>
      </c>
      <c r="B27" s="7" t="s">
        <v>7</v>
      </c>
    </row>
    <row r="28" spans="1:2">
      <c r="A28" s="7" t="s">
        <v>31</v>
      </c>
      <c r="B28" s="7" t="s">
        <v>7</v>
      </c>
    </row>
    <row r="29" spans="1:2">
      <c r="A29" s="7" t="s">
        <v>32</v>
      </c>
      <c r="B29" s="7" t="s">
        <v>7</v>
      </c>
    </row>
    <row r="30" spans="1:2">
      <c r="A30" s="7" t="s">
        <v>33</v>
      </c>
      <c r="B30" s="7" t="s">
        <v>7</v>
      </c>
    </row>
    <row r="31" spans="1:2">
      <c r="A31" s="7" t="s">
        <v>34</v>
      </c>
      <c r="B31" s="7" t="s">
        <v>2</v>
      </c>
    </row>
    <row r="32" spans="1:2">
      <c r="A32" s="7" t="s">
        <v>35</v>
      </c>
      <c r="B32" s="7" t="s">
        <v>11</v>
      </c>
    </row>
    <row r="33" spans="1:2">
      <c r="A33" s="7" t="s">
        <v>36</v>
      </c>
      <c r="B33" s="7" t="s">
        <v>7</v>
      </c>
    </row>
    <row r="34" spans="1:2">
      <c r="A34" s="7" t="s">
        <v>37</v>
      </c>
      <c r="B34" s="7" t="s">
        <v>7</v>
      </c>
    </row>
    <row r="35" spans="1:2">
      <c r="A35" s="7" t="s">
        <v>38</v>
      </c>
      <c r="B35" s="7" t="s">
        <v>11</v>
      </c>
    </row>
    <row r="36" spans="1:2">
      <c r="A36" s="8" t="s">
        <v>39</v>
      </c>
      <c r="B36" s="8" t="s">
        <v>2</v>
      </c>
    </row>
    <row r="37" spans="1:2">
      <c r="A37" s="7" t="s">
        <v>40</v>
      </c>
      <c r="B37" s="7" t="s">
        <v>7</v>
      </c>
    </row>
    <row r="38" spans="1:2">
      <c r="A38" s="7" t="s">
        <v>41</v>
      </c>
      <c r="B38" s="7" t="s">
        <v>2</v>
      </c>
    </row>
    <row r="39" spans="1:2">
      <c r="A39" s="7" t="s">
        <v>42</v>
      </c>
      <c r="B39" s="7" t="s">
        <v>7</v>
      </c>
    </row>
    <row r="40" spans="1:2">
      <c r="A40" s="7" t="s">
        <v>43</v>
      </c>
      <c r="B40" s="7" t="s">
        <v>2</v>
      </c>
    </row>
    <row r="41" spans="1:2">
      <c r="A41" s="3" t="s">
        <v>44</v>
      </c>
      <c r="B41" s="3" t="s">
        <v>7</v>
      </c>
    </row>
    <row r="42" spans="1:2">
      <c r="A42" s="7" t="s">
        <v>45</v>
      </c>
      <c r="B42" s="7" t="s">
        <v>7</v>
      </c>
    </row>
    <row r="43" spans="1:2">
      <c r="A43" s="7" t="s">
        <v>46</v>
      </c>
      <c r="B43" s="7" t="s">
        <v>11</v>
      </c>
    </row>
    <row r="44" spans="1:2">
      <c r="A44" s="9" t="s">
        <v>47</v>
      </c>
      <c r="B44" s="9" t="s">
        <v>2</v>
      </c>
    </row>
    <row r="45" spans="1:2">
      <c r="A45" s="3" t="s">
        <v>48</v>
      </c>
      <c r="B45" s="3" t="s">
        <v>11</v>
      </c>
    </row>
    <row r="46" spans="1:2">
      <c r="A46" s="2" t="s">
        <v>49</v>
      </c>
      <c r="B46" s="2" t="s">
        <v>7</v>
      </c>
    </row>
    <row r="47" spans="1:2">
      <c r="A47" s="3" t="s">
        <v>50</v>
      </c>
      <c r="B47" s="3" t="s">
        <v>2</v>
      </c>
    </row>
    <row r="48" spans="1:2">
      <c r="A48" s="2" t="s">
        <v>51</v>
      </c>
      <c r="B48" s="2" t="s">
        <v>7</v>
      </c>
    </row>
    <row r="49" spans="1:2">
      <c r="A49" s="3" t="s">
        <v>52</v>
      </c>
      <c r="B49" s="3" t="s">
        <v>7</v>
      </c>
    </row>
    <row r="50" spans="1:2">
      <c r="A50" s="3" t="s">
        <v>53</v>
      </c>
      <c r="B50" s="3" t="s">
        <v>7</v>
      </c>
    </row>
    <row r="51" spans="1:2">
      <c r="A51" s="3" t="s">
        <v>54</v>
      </c>
      <c r="B51" s="3" t="s">
        <v>11</v>
      </c>
    </row>
    <row r="52" spans="1:2">
      <c r="A52" s="10" t="s">
        <v>55</v>
      </c>
      <c r="B52" s="10" t="s">
        <v>7</v>
      </c>
    </row>
    <row r="53" spans="1:2">
      <c r="A53" s="2" t="s">
        <v>56</v>
      </c>
      <c r="B53" s="2" t="s">
        <v>7</v>
      </c>
    </row>
    <row r="54" spans="1:2">
      <c r="A54" s="3" t="s">
        <v>57</v>
      </c>
      <c r="B54" s="3" t="s">
        <v>7</v>
      </c>
    </row>
    <row r="55" spans="1:2">
      <c r="A55" s="4" t="s">
        <v>59</v>
      </c>
      <c r="B55" s="4" t="s">
        <v>7</v>
      </c>
    </row>
    <row r="56" spans="1:2">
      <c r="A56" s="2" t="s">
        <v>60</v>
      </c>
      <c r="B56" s="2" t="s">
        <v>436</v>
      </c>
    </row>
    <row r="57" spans="1:2">
      <c r="A57" s="2" t="s">
        <v>61</v>
      </c>
      <c r="B57" s="2" t="s">
        <v>7</v>
      </c>
    </row>
  </sheetData>
  <autoFilter ref="A1:B57" xr:uid="{00000000-0009-0000-0000-000000000000}"/>
  <conditionalFormatting sqref="A1:A999">
    <cfRule type="expression" dxfId="0" priority="1">
      <formula>COUNTIF(A:A, A1)&gt;1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C56"/>
  <sheetViews>
    <sheetView workbookViewId="0"/>
  </sheetViews>
  <sheetFormatPr defaultColWidth="12.6640625" defaultRowHeight="15.75" customHeight="1"/>
  <cols>
    <col min="1" max="1" width="15" customWidth="1"/>
    <col min="2" max="2" width="96.109375" customWidth="1"/>
  </cols>
  <sheetData>
    <row r="2" spans="1:3">
      <c r="A2" s="2"/>
    </row>
    <row r="3" spans="1:3">
      <c r="A3" s="1" t="s">
        <v>62</v>
      </c>
      <c r="B3" s="1" t="s">
        <v>63</v>
      </c>
      <c r="C3" s="1"/>
    </row>
    <row r="4" spans="1:3">
      <c r="A4" s="1" t="s">
        <v>64</v>
      </c>
      <c r="B4" s="1" t="s">
        <v>65</v>
      </c>
    </row>
    <row r="5" spans="1:3">
      <c r="A5" s="1" t="s">
        <v>66</v>
      </c>
      <c r="B5" s="1" t="s">
        <v>67</v>
      </c>
      <c r="C5" s="1" t="s">
        <v>4</v>
      </c>
    </row>
    <row r="6" spans="1:3">
      <c r="A6" s="1" t="s">
        <v>68</v>
      </c>
      <c r="B6" s="1" t="s">
        <v>69</v>
      </c>
    </row>
    <row r="7" spans="1:3">
      <c r="A7" s="1" t="s">
        <v>70</v>
      </c>
      <c r="B7" s="1" t="s">
        <v>71</v>
      </c>
    </row>
    <row r="8" spans="1:3">
      <c r="A8" s="1" t="s">
        <v>72</v>
      </c>
      <c r="B8" s="1" t="s">
        <v>73</v>
      </c>
    </row>
    <row r="9" spans="1:3">
      <c r="A9" s="1" t="s">
        <v>74</v>
      </c>
      <c r="B9" s="1" t="s">
        <v>75</v>
      </c>
    </row>
    <row r="10" spans="1:3">
      <c r="A10" s="1" t="s">
        <v>76</v>
      </c>
      <c r="B10" s="1" t="s">
        <v>77</v>
      </c>
      <c r="C10" s="1" t="s">
        <v>78</v>
      </c>
    </row>
    <row r="11" spans="1:3">
      <c r="A11" s="1" t="s">
        <v>79</v>
      </c>
      <c r="B11" s="1" t="s">
        <v>80</v>
      </c>
      <c r="C11" s="1" t="s">
        <v>4</v>
      </c>
    </row>
    <row r="12" spans="1:3">
      <c r="A12" s="1" t="s">
        <v>81</v>
      </c>
      <c r="B12" s="1" t="s">
        <v>82</v>
      </c>
    </row>
    <row r="13" spans="1:3">
      <c r="A13" s="1" t="s">
        <v>83</v>
      </c>
      <c r="B13" s="1" t="s">
        <v>84</v>
      </c>
    </row>
    <row r="14" spans="1:3">
      <c r="A14" s="1" t="s">
        <v>85</v>
      </c>
      <c r="B14" s="1" t="s">
        <v>86</v>
      </c>
    </row>
    <row r="15" spans="1:3">
      <c r="A15" s="1" t="s">
        <v>87</v>
      </c>
      <c r="B15" s="1" t="s">
        <v>88</v>
      </c>
      <c r="C15" s="1" t="s">
        <v>4</v>
      </c>
    </row>
    <row r="16" spans="1:3">
      <c r="A16" s="1" t="s">
        <v>89</v>
      </c>
      <c r="B16" s="1" t="s">
        <v>90</v>
      </c>
    </row>
    <row r="17" spans="1:3">
      <c r="A17" s="1" t="s">
        <v>91</v>
      </c>
      <c r="B17" s="1" t="s">
        <v>92</v>
      </c>
    </row>
    <row r="18" spans="1:3">
      <c r="A18" s="1" t="s">
        <v>93</v>
      </c>
      <c r="B18" s="1" t="s">
        <v>94</v>
      </c>
    </row>
    <row r="19" spans="1:3">
      <c r="A19" s="1" t="s">
        <v>95</v>
      </c>
      <c r="B19" s="1" t="s">
        <v>96</v>
      </c>
    </row>
    <row r="20" spans="1:3">
      <c r="A20" s="1" t="s">
        <v>97</v>
      </c>
      <c r="B20" s="1" t="s">
        <v>98</v>
      </c>
    </row>
    <row r="21" spans="1:3">
      <c r="A21" s="1" t="s">
        <v>99</v>
      </c>
      <c r="B21" s="1" t="s">
        <v>100</v>
      </c>
    </row>
    <row r="22" spans="1:3">
      <c r="A22" s="1" t="s">
        <v>101</v>
      </c>
      <c r="B22" s="1" t="s">
        <v>102</v>
      </c>
    </row>
    <row r="23" spans="1:3">
      <c r="A23" s="1" t="s">
        <v>103</v>
      </c>
      <c r="B23" s="1" t="s">
        <v>104</v>
      </c>
    </row>
    <row r="24" spans="1:3">
      <c r="A24" s="1" t="s">
        <v>105</v>
      </c>
      <c r="B24" s="1" t="s">
        <v>106</v>
      </c>
      <c r="C24" s="1" t="s">
        <v>4</v>
      </c>
    </row>
    <row r="25" spans="1:3">
      <c r="A25" s="1" t="s">
        <v>107</v>
      </c>
      <c r="B25" s="1" t="s">
        <v>96</v>
      </c>
    </row>
    <row r="26" spans="1:3">
      <c r="A26" s="1" t="s">
        <v>108</v>
      </c>
      <c r="B26" s="1" t="s">
        <v>109</v>
      </c>
    </row>
    <row r="27" spans="1:3">
      <c r="A27" s="1" t="s">
        <v>110</v>
      </c>
      <c r="B27" s="1" t="s">
        <v>111</v>
      </c>
    </row>
    <row r="28" spans="1:3">
      <c r="A28" s="1" t="s">
        <v>112</v>
      </c>
      <c r="B28" s="1" t="s">
        <v>113</v>
      </c>
    </row>
    <row r="29" spans="1:3">
      <c r="A29" s="1" t="s">
        <v>114</v>
      </c>
      <c r="B29" s="1" t="s">
        <v>115</v>
      </c>
    </row>
    <row r="30" spans="1:3">
      <c r="A30" s="1" t="s">
        <v>116</v>
      </c>
      <c r="B30" s="1" t="s">
        <v>69</v>
      </c>
    </row>
    <row r="31" spans="1:3">
      <c r="A31" s="1" t="s">
        <v>117</v>
      </c>
      <c r="B31" s="1" t="s">
        <v>118</v>
      </c>
    </row>
    <row r="32" spans="1:3">
      <c r="A32" s="1" t="s">
        <v>119</v>
      </c>
      <c r="B32" s="1" t="s">
        <v>120</v>
      </c>
    </row>
    <row r="33" spans="1:3">
      <c r="A33" s="1" t="s">
        <v>121</v>
      </c>
      <c r="B33" s="1" t="s">
        <v>122</v>
      </c>
    </row>
    <row r="34" spans="1:3">
      <c r="A34" s="1" t="s">
        <v>123</v>
      </c>
      <c r="B34" s="1" t="s">
        <v>124</v>
      </c>
    </row>
    <row r="35" spans="1:3">
      <c r="A35" s="1" t="s">
        <v>125</v>
      </c>
      <c r="B35" s="1" t="s">
        <v>126</v>
      </c>
    </row>
    <row r="36" spans="1:3">
      <c r="A36" s="1" t="s">
        <v>127</v>
      </c>
      <c r="B36" s="1" t="s">
        <v>128</v>
      </c>
    </row>
    <row r="37" spans="1:3">
      <c r="A37" s="1" t="s">
        <v>129</v>
      </c>
      <c r="B37" s="1" t="s">
        <v>130</v>
      </c>
    </row>
    <row r="38" spans="1:3">
      <c r="A38" s="1" t="s">
        <v>131</v>
      </c>
      <c r="B38" s="1" t="s">
        <v>132</v>
      </c>
    </row>
    <row r="39" spans="1:3">
      <c r="A39" s="1" t="s">
        <v>133</v>
      </c>
      <c r="B39" s="1" t="s">
        <v>134</v>
      </c>
    </row>
    <row r="40" spans="1:3">
      <c r="A40" s="1" t="s">
        <v>135</v>
      </c>
      <c r="B40" s="1" t="s">
        <v>136</v>
      </c>
    </row>
    <row r="41" spans="1:3">
      <c r="A41" s="1" t="s">
        <v>137</v>
      </c>
      <c r="B41" s="1" t="s">
        <v>138</v>
      </c>
    </row>
    <row r="42" spans="1:3">
      <c r="A42" s="1" t="s">
        <v>139</v>
      </c>
      <c r="B42" s="1" t="s">
        <v>140</v>
      </c>
    </row>
    <row r="43" spans="1:3">
      <c r="A43" s="1" t="s">
        <v>141</v>
      </c>
      <c r="B43" s="1" t="s">
        <v>142</v>
      </c>
    </row>
    <row r="44" spans="1:3">
      <c r="A44" s="1" t="s">
        <v>143</v>
      </c>
      <c r="B44" s="1" t="s">
        <v>144</v>
      </c>
      <c r="C44" s="1" t="s">
        <v>4</v>
      </c>
    </row>
    <row r="45" spans="1:3">
      <c r="A45" s="1" t="s">
        <v>145</v>
      </c>
      <c r="B45" s="1" t="s">
        <v>146</v>
      </c>
    </row>
    <row r="46" spans="1:3">
      <c r="A46" s="1" t="s">
        <v>147</v>
      </c>
      <c r="B46" s="1" t="s">
        <v>148</v>
      </c>
    </row>
    <row r="47" spans="1:3">
      <c r="A47" s="1" t="s">
        <v>149</v>
      </c>
      <c r="B47" s="1" t="s">
        <v>150</v>
      </c>
    </row>
    <row r="48" spans="1:3">
      <c r="A48" s="1" t="s">
        <v>151</v>
      </c>
      <c r="B48" s="1" t="s">
        <v>152</v>
      </c>
    </row>
    <row r="49" spans="1:2">
      <c r="A49" s="1" t="s">
        <v>153</v>
      </c>
      <c r="B49" s="1" t="s">
        <v>154</v>
      </c>
    </row>
    <row r="50" spans="1:2">
      <c r="A50" s="1" t="s">
        <v>155</v>
      </c>
      <c r="B50" s="1" t="s">
        <v>156</v>
      </c>
    </row>
    <row r="51" spans="1:2">
      <c r="A51" s="1" t="s">
        <v>157</v>
      </c>
      <c r="B51" s="1" t="s">
        <v>158</v>
      </c>
    </row>
    <row r="52" spans="1:2">
      <c r="A52" s="1" t="s">
        <v>159</v>
      </c>
      <c r="B52" s="1" t="s">
        <v>160</v>
      </c>
    </row>
    <row r="53" spans="1:2">
      <c r="A53" s="1" t="s">
        <v>161</v>
      </c>
      <c r="B53" s="1" t="s">
        <v>162</v>
      </c>
    </row>
    <row r="54" spans="1:2">
      <c r="A54" s="1" t="s">
        <v>58</v>
      </c>
      <c r="B54" s="1" t="s">
        <v>163</v>
      </c>
    </row>
    <row r="55" spans="1:2">
      <c r="A55" s="1" t="s">
        <v>164</v>
      </c>
      <c r="B55" s="1" t="s">
        <v>165</v>
      </c>
    </row>
    <row r="56" spans="1:2">
      <c r="A56" s="1" t="s">
        <v>166</v>
      </c>
      <c r="B56" s="1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349"/>
  <sheetViews>
    <sheetView workbookViewId="0"/>
  </sheetViews>
  <sheetFormatPr defaultColWidth="12.6640625" defaultRowHeight="15.75" customHeight="1"/>
  <cols>
    <col min="1" max="1" width="29.21875" customWidth="1"/>
    <col min="4" max="4" width="25.44140625" customWidth="1"/>
    <col min="5" max="5" width="18.21875" customWidth="1"/>
    <col min="14" max="14" width="30.44140625" customWidth="1"/>
  </cols>
  <sheetData>
    <row r="1" spans="1:19">
      <c r="A1" s="11" t="str">
        <f ca="1">IFERROR(__xludf.DUMMYFUNCTION("IMPORTRANGE(""https://docs.google.com/spreadsheets/d/14FG_aVVtpJ8su0v2DGI5od5IeWMh0hJP3R6Jp5H1IGc/edit?gid=1043902647#gid=1043902647"",""Accepted all data!A2:o350"")"),"test")</f>
        <v>test</v>
      </c>
      <c r="B1" s="1" t="str">
        <f ca="1">IFERROR(__xludf.DUMMYFUNCTION("""COMPUTED_VALUE"""),"test@gmail.com")</f>
        <v>test@gmail.com</v>
      </c>
      <c r="C1" s="1">
        <f ca="1">IFERROR(__xludf.DUMMYFUNCTION("""COMPUTED_VALUE"""),201023165478)</f>
        <v>201023165478</v>
      </c>
      <c r="D1" s="1" t="str">
        <f ca="1">IFERROR(__xludf.DUMMYFUNCTION("""COMPUTED_VALUE"""),"test")</f>
        <v>test</v>
      </c>
      <c r="E1" s="12" t="str">
        <f ca="1">IFERROR(__xludf.DUMMYFUNCTION("""COMPUTED_VALUE"""),"http://www.cisteam.org/events/28/register")</f>
        <v>http://www.cisteam.org/events/28/register</v>
      </c>
      <c r="F1" s="1"/>
      <c r="G1" s="12" t="str">
        <f ca="1">IFERROR(__xludf.DUMMYFUNCTION("""COMPUTED_VALUE"""),"http://www.cisteam.org/events/28/register")</f>
        <v>http://www.cisteam.org/events/28/register</v>
      </c>
      <c r="H1" s="12" t="str">
        <f ca="1">IFERROR(__xludf.DUMMYFUNCTION("""COMPUTED_VALUE"""),"http://www.cisteam.org/events/28/register")</f>
        <v>http://www.cisteam.org/events/28/register</v>
      </c>
      <c r="I1" s="1"/>
      <c r="J1" s="1"/>
      <c r="K1" s="1" t="str">
        <f ca="1">IFERROR(__xludf.DUMMYFUNCTION("""COMPUTED_VALUE"""),"Mansoura University")</f>
        <v>Mansoura University</v>
      </c>
      <c r="L1" s="1"/>
      <c r="M1" s="1" t="str">
        <f ca="1">IFERROR(__xludf.DUMMYFUNCTION("""COMPUTED_VALUE"""),"Faculty of Computer &amp; Information Science")</f>
        <v>Faculty of Computer &amp; Information Science</v>
      </c>
      <c r="N1" s="1"/>
      <c r="O1" s="1" t="str">
        <f ca="1">IFERROR(__xludf.DUMMYFUNCTION("""COMPUTED_VALUE"""),"Prep Year (Engineering students)")</f>
        <v>Prep Year (Engineering students)</v>
      </c>
      <c r="R1" s="1" t="s">
        <v>168</v>
      </c>
      <c r="S1" s="1" t="s">
        <v>169</v>
      </c>
    </row>
    <row r="2" spans="1:19">
      <c r="A2" s="1" t="str">
        <f ca="1">IFERROR(__xludf.DUMMYFUNCTION("""COMPUTED_VALUE"""),"test")</f>
        <v>test</v>
      </c>
      <c r="B2" s="1" t="str">
        <f ca="1">IFERROR(__xludf.DUMMYFUNCTION("""COMPUTED_VALUE"""),"test@gmail.com")</f>
        <v>test@gmail.com</v>
      </c>
      <c r="C2" s="1">
        <f ca="1">IFERROR(__xludf.DUMMYFUNCTION("""COMPUTED_VALUE"""),20284541245)</f>
        <v>20284541245</v>
      </c>
      <c r="D2" s="1" t="str">
        <f ca="1">IFERROR(__xludf.DUMMYFUNCTION("""COMPUTED_VALUE"""),"test@gmail.com")</f>
        <v>test@gmail.com</v>
      </c>
      <c r="E2" s="1" t="str">
        <f ca="1">IFERROR(__xludf.DUMMYFUNCTION("""COMPUTED_VALUE"""),"test@gmail.com")</f>
        <v>test@gmail.com</v>
      </c>
      <c r="F2" s="1"/>
      <c r="G2" s="1"/>
      <c r="H2" s="1"/>
      <c r="I2" s="1"/>
      <c r="J2" s="1"/>
      <c r="K2" s="1" t="str">
        <f ca="1">IFERROR(__xludf.DUMMYFUNCTION("""COMPUTED_VALUE"""),"Cairo University")</f>
        <v>Cairo University</v>
      </c>
      <c r="L2" s="1"/>
      <c r="M2" s="1" t="str">
        <f ca="1">IFERROR(__xludf.DUMMYFUNCTION("""COMPUTED_VALUE"""),"Faculty of Computer &amp; Information Science")</f>
        <v>Faculty of Computer &amp; Information Science</v>
      </c>
      <c r="N2" s="1"/>
      <c r="O2" s="1" t="str">
        <f ca="1">IFERROR(__xludf.DUMMYFUNCTION("""COMPUTED_VALUE"""),"3rd Year")</f>
        <v>3rd Year</v>
      </c>
      <c r="R2" s="1" t="s">
        <v>168</v>
      </c>
      <c r="S2" s="1" t="s">
        <v>170</v>
      </c>
    </row>
    <row r="3" spans="1:19">
      <c r="A3" s="1" t="str">
        <f ca="1">IFERROR(__xludf.DUMMYFUNCTION("""COMPUTED_VALUE"""),"Seham Mohsen Ahmed ")</f>
        <v xml:space="preserve">Seham Mohsen Ahmed </v>
      </c>
      <c r="B3" s="1" t="str">
        <f ca="1">IFERROR(__xludf.DUMMYFUNCTION("""COMPUTED_VALUE"""),"sehammohsen84@gmail.com")</f>
        <v>sehammohsen84@gmail.com</v>
      </c>
      <c r="C3" s="1">
        <f ca="1">IFERROR(__xludf.DUMMYFUNCTION("""COMPUTED_VALUE"""),201032893467)</f>
        <v>201032893467</v>
      </c>
      <c r="D3" s="1" t="str">
        <f ca="1">IFERROR(__xludf.DUMMYFUNCTION("""COMPUTED_VALUE"""),"Mansoura ")</f>
        <v xml:space="preserve">Mansoura </v>
      </c>
      <c r="E3" s="12" t="str">
        <f ca="1">IFERROR(__xludf.DUMMYFUNCTION("""COMPUTED_VALUE"""),"https://www.facebook.com/Seham.Mohsen4/")</f>
        <v>https://www.facebook.com/Seham.Mohsen4/</v>
      </c>
      <c r="F3" s="1"/>
      <c r="G3" s="12" t="str">
        <f ca="1">IFERROR(__xludf.DUMMYFUNCTION("""COMPUTED_VALUE"""),"https://x.com/SehamMohsen8")</f>
        <v>https://x.com/SehamMohsen8</v>
      </c>
      <c r="H3" s="12" t="str">
        <f ca="1">IFERROR(__xludf.DUMMYFUNCTION("""COMPUTED_VALUE"""),"www.linkedin.com/in/seham-mohsen-5662311b9")</f>
        <v>www.linkedin.com/in/seham-mohsen-5662311b9</v>
      </c>
      <c r="I3" s="12" t="str">
        <f ca="1">IFERROR(__xludf.DUMMYFUNCTION("""COMPUTED_VALUE"""),"https://github.com/Seham-Mohsen-84")</f>
        <v>https://github.com/Seham-Mohsen-84</v>
      </c>
      <c r="J3" s="1"/>
      <c r="K3" s="1" t="str">
        <f ca="1">IFERROR(__xludf.DUMMYFUNCTION("""COMPUTED_VALUE"""),"Mansoura University")</f>
        <v>Mansoura University</v>
      </c>
      <c r="L3" s="1"/>
      <c r="M3" s="1" t="str">
        <f ca="1">IFERROR(__xludf.DUMMYFUNCTION("""COMPUTED_VALUE"""),"Faculty of Computer &amp; Information Science")</f>
        <v>Faculty of Computer &amp; Information Science</v>
      </c>
      <c r="N3" s="1"/>
      <c r="O3" s="1" t="str">
        <f ca="1">IFERROR(__xludf.DUMMYFUNCTION("""COMPUTED_VALUE"""),"3rd Year")</f>
        <v>3rd Year</v>
      </c>
      <c r="R3" s="1" t="s">
        <v>171</v>
      </c>
      <c r="S3" s="1" t="s">
        <v>170</v>
      </c>
    </row>
    <row r="4" spans="1:19">
      <c r="A4" s="1" t="str">
        <f ca="1">IFERROR(__xludf.DUMMYFUNCTION("""COMPUTED_VALUE"""),"Ali Hatem")</f>
        <v>Ali Hatem</v>
      </c>
      <c r="B4" s="1" t="str">
        <f ca="1">IFERROR(__xludf.DUMMYFUNCTION("""COMPUTED_VALUE"""),"lyhatm30@gmail.com")</f>
        <v>lyhatm30@gmail.com</v>
      </c>
      <c r="C4" s="1">
        <f ca="1">IFERROR(__xludf.DUMMYFUNCTION("""COMPUTED_VALUE"""),201013711974)</f>
        <v>201013711974</v>
      </c>
      <c r="D4" s="1" t="str">
        <f ca="1">IFERROR(__xludf.DUMMYFUNCTION("""COMPUTED_VALUE"""),"mansoura")</f>
        <v>mansoura</v>
      </c>
      <c r="E4" s="12" t="str">
        <f ca="1">IFERROR(__xludf.DUMMYFUNCTION("""COMPUTED_VALUE"""),"https://www.facebook.com/profile.php?id=100016123633136&amp;mibextid=ZbWKwL")</f>
        <v>https://www.facebook.com/profile.php?id=100016123633136&amp;mibextid=ZbWKwL</v>
      </c>
      <c r="F4" s="1"/>
      <c r="G4" s="12" t="str">
        <f ca="1">IFERROR(__xludf.DUMMYFUNCTION("""COMPUTED_VALUE"""),"https://x.com/ah_tem1?t=-OAmXs-aPCJ4q4y15z8Izg&amp;s=09")</f>
        <v>https://x.com/ah_tem1?t=-OAmXs-aPCJ4q4y15z8Izg&amp;s=09</v>
      </c>
      <c r="H4" s="12" t="str">
        <f ca="1">IFERROR(__xludf.DUMMYFUNCTION("""COMPUTED_VALUE"""),"https://www.linkedin.com/in/alihatemali?utm_source=share&amp;utm_campaign=share_via&amp;utm_content=profile&amp;utm_medium=android_app")</f>
        <v>https://www.linkedin.com/in/alihatemali?utm_source=share&amp;utm_campaign=share_via&amp;utm_content=profile&amp;utm_medium=android_app</v>
      </c>
      <c r="I4" s="1"/>
      <c r="J4" s="1"/>
      <c r="K4" s="1" t="str">
        <f ca="1">IFERROR(__xludf.DUMMYFUNCTION("""COMPUTED_VALUE"""),"Mansoura University")</f>
        <v>Mansoura University</v>
      </c>
      <c r="L4" s="1"/>
      <c r="M4" s="1" t="str">
        <f ca="1">IFERROR(__xludf.DUMMYFUNCTION("""COMPUTED_VALUE"""),"Faculty of Computer &amp; Information Science")</f>
        <v>Faculty of Computer &amp; Information Science</v>
      </c>
      <c r="N4" s="1"/>
      <c r="O4" s="1" t="str">
        <f ca="1">IFERROR(__xludf.DUMMYFUNCTION("""COMPUTED_VALUE"""),"2nd Year")</f>
        <v>2nd Year</v>
      </c>
      <c r="R4" s="1" t="s">
        <v>172</v>
      </c>
      <c r="S4" s="1" t="s">
        <v>173</v>
      </c>
    </row>
    <row r="5" spans="1:19">
      <c r="A5" s="1" t="str">
        <f ca="1">IFERROR(__xludf.DUMMYFUNCTION("""COMPUTED_VALUE"""),"محمد طه الخضري يوسف الزغبي")</f>
        <v>محمد طه الخضري يوسف الزغبي</v>
      </c>
      <c r="B5" s="1" t="str">
        <f ca="1">IFERROR(__xludf.DUMMYFUNCTION("""COMPUTED_VALUE"""),"mohamedtaha32sdxs@gmail.com")</f>
        <v>mohamedtaha32sdxs@gmail.com</v>
      </c>
      <c r="C5" s="1">
        <f ca="1">IFERROR(__xludf.DUMMYFUNCTION("""COMPUTED_VALUE"""),201004530605)</f>
        <v>201004530605</v>
      </c>
      <c r="D5" s="1" t="str">
        <f ca="1">IFERROR(__xludf.DUMMYFUNCTION("""COMPUTED_VALUE"""),"شربين")</f>
        <v>شربين</v>
      </c>
      <c r="E5" s="12" t="str">
        <f ca="1">IFERROR(__xludf.DUMMYFUNCTION("""COMPUTED_VALUE"""),"https://www.facebook.com/profile.php?id=100058357264284&amp;mibextid=ZbWKwL")</f>
        <v>https://www.facebook.com/profile.php?id=100058357264284&amp;mibextid=ZbWKwL</v>
      </c>
      <c r="F5" s="1"/>
      <c r="G5" s="1"/>
      <c r="H5" s="1"/>
      <c r="I5" s="1"/>
      <c r="J5" s="1"/>
      <c r="K5" s="1" t="str">
        <f ca="1">IFERROR(__xludf.DUMMYFUNCTION("""COMPUTED_VALUE"""),"Mansoura University")</f>
        <v>Mansoura University</v>
      </c>
      <c r="L5" s="1"/>
      <c r="M5" s="1" t="str">
        <f ca="1">IFERROR(__xludf.DUMMYFUNCTION("""COMPUTED_VALUE"""),"Faculty of Computer &amp; Information Science")</f>
        <v>Faculty of Computer &amp; Information Science</v>
      </c>
      <c r="N5" s="1"/>
      <c r="O5" s="1" t="str">
        <f ca="1">IFERROR(__xludf.DUMMYFUNCTION("""COMPUTED_VALUE"""),"2nd Year")</f>
        <v>2nd Year</v>
      </c>
      <c r="R5" s="1" t="s">
        <v>174</v>
      </c>
      <c r="S5" s="1" t="s">
        <v>173</v>
      </c>
    </row>
    <row r="6" spans="1:19">
      <c r="A6" s="1" t="str">
        <f ca="1">IFERROR(__xludf.DUMMYFUNCTION("""COMPUTED_VALUE"""),"mazin saad abdel mohsen")</f>
        <v>mazin saad abdel mohsen</v>
      </c>
      <c r="B6" s="1" t="str">
        <f ca="1">IFERROR(__xludf.DUMMYFUNCTION("""COMPUTED_VALUE"""),"mazensaadbb@gmail.com")</f>
        <v>mazensaadbb@gmail.com</v>
      </c>
      <c r="C6" s="1">
        <f ca="1">IFERROR(__xludf.DUMMYFUNCTION("""COMPUTED_VALUE"""),201019589950)</f>
        <v>201019589950</v>
      </c>
      <c r="D6" s="1" t="str">
        <f ca="1">IFERROR(__xludf.DUMMYFUNCTION("""COMPUTED_VALUE"""),"talkha elmansora")</f>
        <v>talkha elmansora</v>
      </c>
      <c r="E6" s="12" t="str">
        <f ca="1">IFERROR(__xludf.DUMMYFUNCTION("""COMPUTED_VALUE"""),"https://www.facebook.com/share/1E5Z11G964/")</f>
        <v>https://www.facebook.com/share/1E5Z11G964/</v>
      </c>
      <c r="F6" s="1"/>
      <c r="G6" s="12" t="str">
        <f ca="1">IFERROR(__xludf.DUMMYFUNCTION("""COMPUTED_VALUE"""),"https://x.com/mazensa3d53?t=d2cgI07LwC6QsOCZ2rPJ0A&amp;s=09")</f>
        <v>https://x.com/mazensa3d53?t=d2cgI07LwC6QsOCZ2rPJ0A&amp;s=09</v>
      </c>
      <c r="H6" s="12" t="str">
        <f ca="1">IFERROR(__xludf.DUMMYFUNCTION("""COMPUTED_VALUE"""),"https://www.linkedin.com/onboarding/start/open-to-job-opportunity/new/")</f>
        <v>https://www.linkedin.com/onboarding/start/open-to-job-opportunity/new/</v>
      </c>
      <c r="I6" s="12" t="str">
        <f ca="1">IFERROR(__xludf.DUMMYFUNCTION("""COMPUTED_VALUE"""),"https://github.com/mazin53")</f>
        <v>https://github.com/mazin53</v>
      </c>
      <c r="J6" s="12" t="str">
        <f ca="1">IFERROR(__xludf.DUMMYFUNCTION("""COMPUTED_VALUE"""),"https://www.behance.net/mazensaad7")</f>
        <v>https://www.behance.net/mazensaad7</v>
      </c>
      <c r="K6" s="1" t="str">
        <f ca="1">IFERROR(__xludf.DUMMYFUNCTION("""COMPUTED_VALUE"""),"Mansoura University")</f>
        <v>Mansoura University</v>
      </c>
      <c r="L6" s="1"/>
      <c r="M6" s="1" t="str">
        <f ca="1">IFERROR(__xludf.DUMMYFUNCTION("""COMPUTED_VALUE"""),"Faculty of Computer &amp; Information Science")</f>
        <v>Faculty of Computer &amp; Information Science</v>
      </c>
      <c r="N6" s="1"/>
      <c r="O6" s="1" t="str">
        <f ca="1">IFERROR(__xludf.DUMMYFUNCTION("""COMPUTED_VALUE"""),"1st Year")</f>
        <v>1st Year</v>
      </c>
      <c r="R6" s="1" t="s">
        <v>175</v>
      </c>
      <c r="S6" s="1" t="s">
        <v>176</v>
      </c>
    </row>
    <row r="7" spans="1:19">
      <c r="A7" s="1" t="str">
        <f ca="1">IFERROR(__xludf.DUMMYFUNCTION("""COMPUTED_VALUE"""),"Kareem Mohamed Maher Khatab")</f>
        <v>Kareem Mohamed Maher Khatab</v>
      </c>
      <c r="B7" s="1" t="str">
        <f ca="1">IFERROR(__xludf.DUMMYFUNCTION("""COMPUTED_VALUE"""),"lolerforyears.social@gmail.com")</f>
        <v>lolerforyears.social@gmail.com</v>
      </c>
      <c r="C7" s="1">
        <f ca="1">IFERROR(__xludf.DUMMYFUNCTION("""COMPUTED_VALUE"""),201120134330)</f>
        <v>201120134330</v>
      </c>
      <c r="D7" s="1" t="str">
        <f ca="1">IFERROR(__xludf.DUMMYFUNCTION("""COMPUTED_VALUE"""),"Dakahlia, Mansoura")</f>
        <v>Dakahlia, Mansoura</v>
      </c>
      <c r="E7" s="12" t="str">
        <f ca="1">IFERROR(__xludf.DUMMYFUNCTION("""COMPUTED_VALUE"""),"https://www.facebook.com/share/19R6P34gEP/?mibextid=LQQJ4d")</f>
        <v>https://www.facebook.com/share/19R6P34gEP/?mibextid=LQQJ4d</v>
      </c>
      <c r="F7" s="12" t="str">
        <f ca="1">IFERROR(__xludf.DUMMYFUNCTION("""COMPUTED_VALUE"""),"https://discord.gg/eEqvTVUc")</f>
        <v>https://discord.gg/eEqvTVUc</v>
      </c>
      <c r="G7" s="1"/>
      <c r="H7" s="12" t="str">
        <f ca="1">IFERROR(__xludf.DUMMYFUNCTION("""COMPUTED_VALUE"""),"https://www.linkedin.com/in/kareem-maher-b26981330?utm_source=share&amp;utm_campaign=share_via&amp;utm_content=profile&amp;utm_medium=ios_app")</f>
        <v>https://www.linkedin.com/in/kareem-maher-b26981330?utm_source=share&amp;utm_campaign=share_via&amp;utm_content=profile&amp;utm_medium=ios_app</v>
      </c>
      <c r="I7" s="1"/>
      <c r="J7" s="1"/>
      <c r="K7" s="1" t="str">
        <f ca="1">IFERROR(__xludf.DUMMYFUNCTION("""COMPUTED_VALUE"""),"Mansoura University")</f>
        <v>Mansoura University</v>
      </c>
      <c r="L7" s="1"/>
      <c r="M7" s="1" t="str">
        <f ca="1">IFERROR(__xludf.DUMMYFUNCTION("""COMPUTED_VALUE"""),"Faculty of Computer &amp; Information Science")</f>
        <v>Faculty of Computer &amp; Information Science</v>
      </c>
      <c r="N7" s="1"/>
      <c r="O7" s="1" t="str">
        <f ca="1">IFERROR(__xludf.DUMMYFUNCTION("""COMPUTED_VALUE"""),"1st Year")</f>
        <v>1st Year</v>
      </c>
      <c r="R7" s="1" t="s">
        <v>177</v>
      </c>
      <c r="S7" s="1" t="s">
        <v>176</v>
      </c>
    </row>
    <row r="8" spans="1:19">
      <c r="A8" s="1" t="str">
        <f ca="1">IFERROR(__xludf.DUMMYFUNCTION("""COMPUTED_VALUE"""),"Hanan Waleed")</f>
        <v>Hanan Waleed</v>
      </c>
      <c r="B8" s="1" t="str">
        <f ca="1">IFERROR(__xludf.DUMMYFUNCTION("""COMPUTED_VALUE"""),"waleedhanan81@gmail.com")</f>
        <v>waleedhanan81@gmail.com</v>
      </c>
      <c r="C8" s="1">
        <f ca="1">IFERROR(__xludf.DUMMYFUNCTION("""COMPUTED_VALUE"""),201280292678)</f>
        <v>201280292678</v>
      </c>
      <c r="D8" s="1" t="str">
        <f ca="1">IFERROR(__xludf.DUMMYFUNCTION("""COMPUTED_VALUE"""),"  El Manzala 4 Ahmed Orabi Street")</f>
        <v xml:space="preserve">  El Manzala 4 Ahmed Orabi Street</v>
      </c>
      <c r="E8" s="12" t="str">
        <f ca="1">IFERROR(__xludf.DUMMYFUNCTION("""COMPUTED_VALUE"""),"https://www.facebook.com/share/1AS2K3jEet/")</f>
        <v>https://www.facebook.com/share/1AS2K3jEet/</v>
      </c>
      <c r="F8" s="1"/>
      <c r="G8" s="12" t="str">
        <f ca="1">IFERROR(__xludf.DUMMYFUNCTION("""COMPUTED_VALUE"""),"https://x.com/HananWaleed__?t=MSWFxqHhv6vDP7qET4j0gA&amp;s=09")</f>
        <v>https://x.com/HananWaleed__?t=MSWFxqHhv6vDP7qET4j0gA&amp;s=09</v>
      </c>
      <c r="H8" s="12" t="str">
        <f ca="1">IFERROR(__xludf.DUMMYFUNCTION("""COMPUTED_VALUE"""),"https://www.linkedin.com/in/hanan-waleed-a716322b7?utm_source=share&amp;utm_campaign=share_via&amp;utm_content=profile&amp;utm_medium=android_app")</f>
        <v>https://www.linkedin.com/in/hanan-waleed-a716322b7?utm_source=share&amp;utm_campaign=share_via&amp;utm_content=profile&amp;utm_medium=android_app</v>
      </c>
      <c r="I8" s="12" t="str">
        <f ca="1">IFERROR(__xludf.DUMMYFUNCTION("""COMPUTED_VALUE"""),"https://github.com/hananwaleed")</f>
        <v>https://github.com/hananwaleed</v>
      </c>
      <c r="J8" s="12" t="str">
        <f ca="1">IFERROR(__xludf.DUMMYFUNCTION("""COMPUTED_VALUE"""),"https://www.behance.net/hananwaleed2")</f>
        <v>https://www.behance.net/hananwaleed2</v>
      </c>
      <c r="K8" s="1" t="str">
        <f ca="1">IFERROR(__xludf.DUMMYFUNCTION("""COMPUTED_VALUE"""),"Mansoura University")</f>
        <v>Mansoura University</v>
      </c>
      <c r="L8" s="1"/>
      <c r="M8" s="1" t="str">
        <f ca="1">IFERROR(__xludf.DUMMYFUNCTION("""COMPUTED_VALUE"""),"Faculty of Computer &amp; Information Science")</f>
        <v>Faculty of Computer &amp; Information Science</v>
      </c>
      <c r="N8" s="1"/>
      <c r="O8" s="1" t="str">
        <f ca="1">IFERROR(__xludf.DUMMYFUNCTION("""COMPUTED_VALUE"""),"2nd Year")</f>
        <v>2nd Year</v>
      </c>
      <c r="R8" s="1" t="s">
        <v>178</v>
      </c>
      <c r="S8" s="1" t="s">
        <v>173</v>
      </c>
    </row>
    <row r="9" spans="1:19">
      <c r="A9" s="1" t="str">
        <f ca="1">IFERROR(__xludf.DUMMYFUNCTION("""COMPUTED_VALUE"""),"محمد احمد البيومي")</f>
        <v>محمد احمد البيومي</v>
      </c>
      <c r="B9" s="1" t="str">
        <f ca="1">IFERROR(__xludf.DUMMYFUNCTION("""COMPUTED_VALUE"""),"mohamedghp780@gmail.com")</f>
        <v>mohamedghp780@gmail.com</v>
      </c>
      <c r="C9" s="1">
        <f ca="1">IFERROR(__xludf.DUMMYFUNCTION("""COMPUTED_VALUE"""),201032951478)</f>
        <v>201032951478</v>
      </c>
      <c r="D9" s="1" t="str">
        <f ca="1">IFERROR(__xludf.DUMMYFUNCTION("""COMPUTED_VALUE"""),"belqas")</f>
        <v>belqas</v>
      </c>
      <c r="E9" s="12" t="str">
        <f ca="1">IFERROR(__xludf.DUMMYFUNCTION("""COMPUTED_VALUE"""),"https://www.facebook.com/profile.php?id=100035448348057&amp;mibextid=LQQJ4d")</f>
        <v>https://www.facebook.com/profile.php?id=100035448348057&amp;mibextid=LQQJ4d</v>
      </c>
      <c r="F9" s="1"/>
      <c r="G9" s="12" t="str">
        <f ca="1">IFERROR(__xludf.DUMMYFUNCTION("""COMPUTED_VALUE"""),"https://x.com/Mohamed15100746")</f>
        <v>https://x.com/Mohamed15100746</v>
      </c>
      <c r="H9" s="12" t="str">
        <f ca="1">IFERROR(__xludf.DUMMYFUNCTION("""COMPUTED_VALUE"""),"https://www.linkedin.com/in/mohamed-elbaioumy-2a0b1b234?utm_source=share&amp;utm_campaign=share_via&amp;utm_content=profile&amp;utm_medium=ios_app")</f>
        <v>https://www.linkedin.com/in/mohamed-elbaioumy-2a0b1b234?utm_source=share&amp;utm_campaign=share_via&amp;utm_content=profile&amp;utm_medium=ios_app</v>
      </c>
      <c r="I9" s="1"/>
      <c r="J9" s="1"/>
      <c r="K9" s="1" t="str">
        <f ca="1">IFERROR(__xludf.DUMMYFUNCTION("""COMPUTED_VALUE"""),"Mansoura University")</f>
        <v>Mansoura University</v>
      </c>
      <c r="L9" s="1"/>
      <c r="M9" s="1" t="str">
        <f ca="1">IFERROR(__xludf.DUMMYFUNCTION("""COMPUTED_VALUE"""),"Faculty of Computer &amp; Information Science")</f>
        <v>Faculty of Computer &amp; Information Science</v>
      </c>
      <c r="N9" s="1"/>
      <c r="O9" s="1" t="str">
        <f ca="1">IFERROR(__xludf.DUMMYFUNCTION("""COMPUTED_VALUE"""),"2nd Year")</f>
        <v>2nd Year</v>
      </c>
      <c r="R9" s="1" t="s">
        <v>179</v>
      </c>
      <c r="S9" s="1" t="s">
        <v>173</v>
      </c>
    </row>
    <row r="10" spans="1:19">
      <c r="A10" s="1" t="str">
        <f ca="1">IFERROR(__xludf.DUMMYFUNCTION("""COMPUTED_VALUE"""),"Yusuf Mansour")</f>
        <v>Yusuf Mansour</v>
      </c>
      <c r="B10" s="1" t="str">
        <f ca="1">IFERROR(__xludf.DUMMYFUNCTION("""COMPUTED_VALUE"""),"youssefmansour5655@gmail.com")</f>
        <v>youssefmansour5655@gmail.com</v>
      </c>
      <c r="C10" s="1">
        <f ca="1">IFERROR(__xludf.DUMMYFUNCTION("""COMPUTED_VALUE"""),201028925994)</f>
        <v>201028925994</v>
      </c>
      <c r="D10" s="1" t="str">
        <f ca="1">IFERROR(__xludf.DUMMYFUNCTION("""COMPUTED_VALUE"""),"Dekernes - Station st.")</f>
        <v>Dekernes - Station st.</v>
      </c>
      <c r="E10" s="12" t="str">
        <f ca="1">IFERROR(__xludf.DUMMYFUNCTION("""COMPUTED_VALUE"""),"https://www.facebook.com/youssef.mansour.165470?mibextid=LQQJ4d")</f>
        <v>https://www.facebook.com/youssef.mansour.165470?mibextid=LQQJ4d</v>
      </c>
      <c r="F10" s="1" t="str">
        <f ca="1">IFERROR(__xludf.DUMMYFUNCTION("""COMPUTED_VALUE"""),"the_fallen69")</f>
        <v>the_fallen69</v>
      </c>
      <c r="G10" s="1"/>
      <c r="H10" s="1"/>
      <c r="I10" s="1"/>
      <c r="J10" s="1"/>
      <c r="K10" s="1" t="str">
        <f ca="1">IFERROR(__xludf.DUMMYFUNCTION("""COMPUTED_VALUE"""),"Mansoura University")</f>
        <v>Mansoura University</v>
      </c>
      <c r="L10" s="1"/>
      <c r="M10" s="1" t="str">
        <f ca="1">IFERROR(__xludf.DUMMYFUNCTION("""COMPUTED_VALUE"""),"Faculty of Computer &amp; Information Science")</f>
        <v>Faculty of Computer &amp; Information Science</v>
      </c>
      <c r="N10" s="1"/>
      <c r="O10" s="1" t="str">
        <f ca="1">IFERROR(__xludf.DUMMYFUNCTION("""COMPUTED_VALUE"""),"1st Year")</f>
        <v>1st Year</v>
      </c>
      <c r="R10" s="1" t="s">
        <v>180</v>
      </c>
      <c r="S10" s="1" t="s">
        <v>176</v>
      </c>
    </row>
    <row r="11" spans="1:19">
      <c r="A11" s="1" t="str">
        <f ca="1">IFERROR(__xludf.DUMMYFUNCTION("""COMPUTED_VALUE"""),"Eman mahmoud Ebraheem Ali")</f>
        <v>Eman mahmoud Ebraheem Ali</v>
      </c>
      <c r="B11" s="1" t="str">
        <f ca="1">IFERROR(__xludf.DUMMYFUNCTION("""COMPUTED_VALUE"""),"emanmahmoud8200@gmail.com")</f>
        <v>emanmahmoud8200@gmail.com</v>
      </c>
      <c r="C11" s="1">
        <f ca="1">IFERROR(__xludf.DUMMYFUNCTION("""COMPUTED_VALUE"""),201273673805)</f>
        <v>201273673805</v>
      </c>
      <c r="D11" s="1" t="str">
        <f ca="1">IFERROR(__xludf.DUMMYFUNCTION("""COMPUTED_VALUE"""),"Elmanzala_Aldaqahlia")</f>
        <v>Elmanzala_Aldaqahlia</v>
      </c>
      <c r="E11" s="12" t="str">
        <f ca="1">IFERROR(__xludf.DUMMYFUNCTION("""COMPUTED_VALUE"""),"https://www.facebook.com/share/19sgMJ4oTZ/")</f>
        <v>https://www.facebook.com/share/19sgMJ4oTZ/</v>
      </c>
      <c r="F11" s="1"/>
      <c r="G11" s="12" t="str">
        <f ca="1">IFERROR(__xludf.DUMMYFUNCTION("""COMPUTED_VALUE"""),"https://x.com/eman_Mahm0ud4?s=09")</f>
        <v>https://x.com/eman_Mahm0ud4?s=09</v>
      </c>
      <c r="H11" s="12" t="str">
        <f ca="1">IFERROR(__xludf.DUMMYFUNCTION("""COMPUTED_VALUE"""),"https://www.linkedin.com/in/eman-mahmoud-a053aa322?utm_source=share&amp;utm_campaign=share_via&amp;utm_content=profile&amp;utm_medium=android_app")</f>
        <v>https://www.linkedin.com/in/eman-mahmoud-a053aa322?utm_source=share&amp;utm_campaign=share_via&amp;utm_content=profile&amp;utm_medium=android_app</v>
      </c>
      <c r="I11" s="12" t="str">
        <f ca="1">IFERROR(__xludf.DUMMYFUNCTION("""COMPUTED_VALUE"""),"https://github.com/EmanMahmud0")</f>
        <v>https://github.com/EmanMahmud0</v>
      </c>
      <c r="J11" s="12" t="str">
        <f ca="1">IFERROR(__xludf.DUMMYFUNCTION("""COMPUTED_VALUE"""),"https://www.behance.net/emanmahmoud82")</f>
        <v>https://www.behance.net/emanmahmoud82</v>
      </c>
      <c r="K11" s="1" t="str">
        <f ca="1">IFERROR(__xludf.DUMMYFUNCTION("""COMPUTED_VALUE"""),"Mansoura University")</f>
        <v>Mansoura University</v>
      </c>
      <c r="L11" s="1"/>
      <c r="M11" s="1" t="str">
        <f ca="1">IFERROR(__xludf.DUMMYFUNCTION("""COMPUTED_VALUE"""),"Faculty of Science")</f>
        <v>Faculty of Science</v>
      </c>
      <c r="N11" s="1"/>
      <c r="O11" s="1" t="str">
        <f ca="1">IFERROR(__xludf.DUMMYFUNCTION("""COMPUTED_VALUE"""),"1st Year")</f>
        <v>1st Year</v>
      </c>
      <c r="R11" s="1" t="s">
        <v>181</v>
      </c>
      <c r="S11" s="1" t="s">
        <v>176</v>
      </c>
    </row>
    <row r="12" spans="1:19">
      <c r="A12" s="1" t="str">
        <f ca="1">IFERROR(__xludf.DUMMYFUNCTION("""COMPUTED_VALUE"""),"Esraa Mostafa EL-Tohamy")</f>
        <v>Esraa Mostafa EL-Tohamy</v>
      </c>
      <c r="B12" s="1" t="str">
        <f ca="1">IFERROR(__xludf.DUMMYFUNCTION("""COMPUTED_VALUE"""),"esraaeltohamii@outlook.com")</f>
        <v>esraaeltohamii@outlook.com</v>
      </c>
      <c r="C12" s="1">
        <f ca="1">IFERROR(__xludf.DUMMYFUNCTION("""COMPUTED_VALUE"""),201095060897)</f>
        <v>201095060897</v>
      </c>
      <c r="D12" s="1" t="str">
        <f ca="1">IFERROR(__xludf.DUMMYFUNCTION("""COMPUTED_VALUE"""),"Ad Dakahliya, Markez Meniat AL Nasr")</f>
        <v>Ad Dakahliya, Markez Meniat AL Nasr</v>
      </c>
      <c r="E12" s="12" t="str">
        <f ca="1">IFERROR(__xludf.DUMMYFUNCTION("""COMPUTED_VALUE"""),"www.facebook.com/esraa.el.tohamii")</f>
        <v>www.facebook.com/esraa.el.tohamii</v>
      </c>
      <c r="F12" s="1"/>
      <c r="G12" s="12" t="str">
        <f ca="1">IFERROR(__xludf.DUMMYFUNCTION("""COMPUTED_VALUE"""),"https://x.com/esraa_el_tohamy")</f>
        <v>https://x.com/esraa_el_tohamy</v>
      </c>
      <c r="H12" s="12" t="str">
        <f ca="1">IFERROR(__xludf.DUMMYFUNCTION("""COMPUTED_VALUE"""),"www.linkedin.com/in/esraaeltohamyy")</f>
        <v>www.linkedin.com/in/esraaeltohamyy</v>
      </c>
      <c r="I12" s="12" t="str">
        <f ca="1">IFERROR(__xludf.DUMMYFUNCTION("""COMPUTED_VALUE"""),"https://github.com/esraa-el-tohamii")</f>
        <v>https://github.com/esraa-el-tohamii</v>
      </c>
      <c r="J12" s="12" t="str">
        <f ca="1">IFERROR(__xludf.DUMMYFUNCTION("""COMPUTED_VALUE"""),"https://www.behance.net/sosomostafa1")</f>
        <v>https://www.behance.net/sosomostafa1</v>
      </c>
      <c r="K12" s="1" t="str">
        <f ca="1">IFERROR(__xludf.DUMMYFUNCTION("""COMPUTED_VALUE"""),"Mansoura University")</f>
        <v>Mansoura University</v>
      </c>
      <c r="L12" s="1"/>
      <c r="M12" s="1" t="str">
        <f ca="1">IFERROR(__xludf.DUMMYFUNCTION("""COMPUTED_VALUE"""),"Faculty of Computer &amp; Information Science")</f>
        <v>Faculty of Computer &amp; Information Science</v>
      </c>
      <c r="N12" s="1"/>
      <c r="O12" s="1" t="str">
        <f ca="1">IFERROR(__xludf.DUMMYFUNCTION("""COMPUTED_VALUE"""),"2nd Year")</f>
        <v>2nd Year</v>
      </c>
      <c r="R12" s="1" t="s">
        <v>182</v>
      </c>
      <c r="S12" s="1" t="s">
        <v>173</v>
      </c>
    </row>
    <row r="13" spans="1:19">
      <c r="A13" s="1" t="str">
        <f ca="1">IFERROR(__xludf.DUMMYFUNCTION("""COMPUTED_VALUE"""),"hhh")</f>
        <v>hhh</v>
      </c>
      <c r="B13" s="1" t="str">
        <f ca="1">IFERROR(__xludf.DUMMYFUNCTION("""COMPUTED_VALUE"""),"jj@gmail.com")</f>
        <v>jj@gmail.com</v>
      </c>
      <c r="C13" s="1">
        <f ca="1">IFERROR(__xludf.DUMMYFUNCTION("""COMPUTED_VALUE"""),201045368525)</f>
        <v>201045368525</v>
      </c>
      <c r="D13" s="1" t="str">
        <f ca="1">IFERROR(__xludf.DUMMYFUNCTION("""COMPUTED_VALUE"""),"do FL I'm to")</f>
        <v>do FL I'm to</v>
      </c>
      <c r="E13" s="12" t="str">
        <f ca="1">IFERROR(__xludf.DUMMYFUNCTION("""COMPUTED_VALUE"""),"hhhhhhhg.com")</f>
        <v>hhhhhhhg.com</v>
      </c>
      <c r="F13" s="1" t="str">
        <f ca="1">IFERROR(__xludf.DUMMYFUNCTION("""COMPUTED_VALUE"""),"bglkuu")</f>
        <v>bglkuu</v>
      </c>
      <c r="G13" s="1"/>
      <c r="H13" s="1"/>
      <c r="I13" s="1"/>
      <c r="J13" s="1"/>
      <c r="K13" s="1" t="str">
        <f ca="1">IFERROR(__xludf.DUMMYFUNCTION("""COMPUTED_VALUE"""),"Mansoura University")</f>
        <v>Mansoura University</v>
      </c>
      <c r="L13" s="1"/>
      <c r="M13" s="1" t="str">
        <f ca="1">IFERROR(__xludf.DUMMYFUNCTION("""COMPUTED_VALUE"""),"Faculty of Computer &amp; Information Science")</f>
        <v>Faculty of Computer &amp; Information Science</v>
      </c>
      <c r="N13" s="1"/>
      <c r="O13" s="1" t="str">
        <f ca="1">IFERROR(__xludf.DUMMYFUNCTION("""COMPUTED_VALUE"""),"3rd Year")</f>
        <v>3rd Year</v>
      </c>
      <c r="R13" s="1" t="s">
        <v>183</v>
      </c>
      <c r="S13" s="1" t="s">
        <v>170</v>
      </c>
    </row>
    <row r="14" spans="1:19">
      <c r="A14" s="1" t="str">
        <f ca="1">IFERROR(__xludf.DUMMYFUNCTION("""COMPUTED_VALUE"""),"sssss")</f>
        <v>sssss</v>
      </c>
      <c r="B14" s="1" t="str">
        <f ca="1">IFERROR(__xludf.DUMMYFUNCTION("""COMPUTED_VALUE"""),"ssssss@gmail.com")</f>
        <v>ssssss@gmail.com</v>
      </c>
      <c r="C14" s="1">
        <f ca="1">IFERROR(__xludf.DUMMYFUNCTION("""COMPUTED_VALUE"""),201064874549)</f>
        <v>201064874549</v>
      </c>
      <c r="D14" s="1" t="str">
        <f ca="1">IFERROR(__xludf.DUMMYFUNCTION("""COMPUTED_VALUE"""),"dsfsaf")</f>
        <v>dsfsaf</v>
      </c>
      <c r="E14" s="12" t="str">
        <f ca="1">IFERROR(__xludf.DUMMYFUNCTION("""COMPUTED_VALUE"""),"facebook.com")</f>
        <v>facebook.com</v>
      </c>
      <c r="F14" s="1" t="str">
        <f ca="1">IFERROR(__xludf.DUMMYFUNCTION("""COMPUTED_VALUE"""),"ddfasdfsdfd")</f>
        <v>ddfasdfsdfd</v>
      </c>
      <c r="G14" s="12" t="str">
        <f ca="1">IFERROR(__xludf.DUMMYFUNCTION("""COMPUTED_VALUE"""),"x.com")</f>
        <v>x.com</v>
      </c>
      <c r="H14" s="12" t="str">
        <f ca="1">IFERROR(__xludf.DUMMYFUNCTION("""COMPUTED_VALUE"""),"linkedn.com")</f>
        <v>linkedn.com</v>
      </c>
      <c r="I14" s="12" t="str">
        <f ca="1">IFERROR(__xludf.DUMMYFUNCTION("""COMPUTED_VALUE"""),"github.com")</f>
        <v>github.com</v>
      </c>
      <c r="J14" s="12" t="str">
        <f ca="1">IFERROR(__xludf.DUMMYFUNCTION("""COMPUTED_VALUE"""),"behance.com")</f>
        <v>behance.com</v>
      </c>
      <c r="K14" s="1" t="str">
        <f ca="1">IFERROR(__xludf.DUMMYFUNCTION("""COMPUTED_VALUE"""),"Tanta University")</f>
        <v>Tanta University</v>
      </c>
      <c r="L14" s="1"/>
      <c r="M14" s="1" t="str">
        <f ca="1">IFERROR(__xludf.DUMMYFUNCTION("""COMPUTED_VALUE"""),"Faculty of Science")</f>
        <v>Faculty of Science</v>
      </c>
      <c r="N14" s="1"/>
      <c r="O14" s="1" t="str">
        <f ca="1">IFERROR(__xludf.DUMMYFUNCTION("""COMPUTED_VALUE"""),"2nd Year")</f>
        <v>2nd Year</v>
      </c>
      <c r="R14" s="1" t="s">
        <v>184</v>
      </c>
      <c r="S14" s="1" t="s">
        <v>173</v>
      </c>
    </row>
    <row r="15" spans="1:19">
      <c r="A15" s="1" t="str">
        <f ca="1">IFERROR(__xludf.DUMMYFUNCTION("""COMPUTED_VALUE"""),"محمد طه الخضري يوسف الزغبي")</f>
        <v>محمد طه الخضري يوسف الزغبي</v>
      </c>
      <c r="B15" s="1" t="str">
        <f ca="1">IFERROR(__xludf.DUMMYFUNCTION("""COMPUTED_VALUE"""),"thm002752@gmail.com")</f>
        <v>thm002752@gmail.com</v>
      </c>
      <c r="C15" s="1">
        <f ca="1">IFERROR(__xludf.DUMMYFUNCTION("""COMPUTED_VALUE"""),201004530605)</f>
        <v>201004530605</v>
      </c>
      <c r="D15" s="1" t="str">
        <f ca="1">IFERROR(__xludf.DUMMYFUNCTION("""COMPUTED_VALUE"""),"شربين")</f>
        <v>شربين</v>
      </c>
      <c r="E15" s="12" t="str">
        <f ca="1">IFERROR(__xludf.DUMMYFUNCTION("""COMPUTED_VALUE"""),"https://www.facebook.com/profile.php?id=100058357264284&amp;mibextid=ZbWKwL")</f>
        <v>https://www.facebook.com/profile.php?id=100058357264284&amp;mibextid=ZbWKwL</v>
      </c>
      <c r="F15" s="12" t="str">
        <f ca="1">IFERROR(__xludf.DUMMYFUNCTION("""COMPUTED_VALUE"""),"https://www.facebook.com/profile.php?id=100058357264284&amp;mibextid=ZbWKwL")</f>
        <v>https://www.facebook.com/profile.php?id=100058357264284&amp;mibextid=ZbWKwL</v>
      </c>
      <c r="G15" s="1"/>
      <c r="H15" s="1"/>
      <c r="I15" s="1"/>
      <c r="J15" s="1"/>
      <c r="K15" s="1" t="str">
        <f ca="1">IFERROR(__xludf.DUMMYFUNCTION("""COMPUTED_VALUE"""),"Mansoura University")</f>
        <v>Mansoura University</v>
      </c>
      <c r="L15" s="1"/>
      <c r="M15" s="1" t="str">
        <f ca="1">IFERROR(__xludf.DUMMYFUNCTION("""COMPUTED_VALUE"""),"Faculty of Computer &amp; Information Science")</f>
        <v>Faculty of Computer &amp; Information Science</v>
      </c>
      <c r="N15" s="1"/>
      <c r="O15" s="1" t="str">
        <f ca="1">IFERROR(__xludf.DUMMYFUNCTION("""COMPUTED_VALUE"""),"2nd Year")</f>
        <v>2nd Year</v>
      </c>
      <c r="R15" s="1" t="s">
        <v>12</v>
      </c>
      <c r="S15" s="1" t="s">
        <v>173</v>
      </c>
    </row>
    <row r="16" spans="1:19">
      <c r="A16" s="1" t="str">
        <f ca="1">IFERROR(__xludf.DUMMYFUNCTION("""COMPUTED_VALUE"""),"Mohamed ELsayed Awed saad EL gharbawy")</f>
        <v>Mohamed ELsayed Awed saad EL gharbawy</v>
      </c>
      <c r="B16" s="1" t="str">
        <f ca="1">IFERROR(__xludf.DUMMYFUNCTION("""COMPUTED_VALUE"""),"me668813@gmail.com")</f>
        <v>me668813@gmail.com</v>
      </c>
      <c r="C16" s="1">
        <f ca="1">IFERROR(__xludf.DUMMYFUNCTION("""COMPUTED_VALUE"""),201026782330)</f>
        <v>201026782330</v>
      </c>
      <c r="D16" s="1" t="str">
        <f ca="1">IFERROR(__xludf.DUMMYFUNCTION("""COMPUTED_VALUE"""),"شربين ")</f>
        <v xml:space="preserve">شربين </v>
      </c>
      <c r="E16" s="12" t="str">
        <f ca="1">IFERROR(__xludf.DUMMYFUNCTION("""COMPUTED_VALUE"""),"https://www.facebook.com/profile.php?id=100034211852937&amp;mibextid=ZbWKwL")</f>
        <v>https://www.facebook.com/profile.php?id=100034211852937&amp;mibextid=ZbWKwL</v>
      </c>
      <c r="F16" s="12" t="str">
        <f ca="1">IFERROR(__xludf.DUMMYFUNCTION("""COMPUTED_VALUE"""),"https://www.facebook.com/profile.php?id=100034211852937&amp;mibextid=ZbWKwL")</f>
        <v>https://www.facebook.com/profile.php?id=100034211852937&amp;mibextid=ZbWKwL</v>
      </c>
      <c r="G16" s="1"/>
      <c r="H16" s="1"/>
      <c r="I16" s="1"/>
      <c r="J16" s="1"/>
      <c r="K16" s="1" t="str">
        <f ca="1">IFERROR(__xludf.DUMMYFUNCTION("""COMPUTED_VALUE"""),"Mansoura University")</f>
        <v>Mansoura University</v>
      </c>
      <c r="L16" s="1"/>
      <c r="M16" s="1" t="str">
        <f ca="1">IFERROR(__xludf.DUMMYFUNCTION("""COMPUTED_VALUE"""),"Faculty of Computer &amp; Information Science")</f>
        <v>Faculty of Computer &amp; Information Science</v>
      </c>
      <c r="N16" s="1"/>
      <c r="O16" s="1" t="str">
        <f ca="1">IFERROR(__xludf.DUMMYFUNCTION("""COMPUTED_VALUE"""),"2nd Year")</f>
        <v>2nd Year</v>
      </c>
      <c r="R16" s="1" t="s">
        <v>16</v>
      </c>
      <c r="S16" s="1" t="s">
        <v>173</v>
      </c>
    </row>
    <row r="17" spans="1:19">
      <c r="A17" s="1" t="str">
        <f ca="1">IFERROR(__xludf.DUMMYFUNCTION("""COMPUTED_VALUE"""),"نجوي صادق محمد صادق ")</f>
        <v xml:space="preserve">نجوي صادق محمد صادق </v>
      </c>
      <c r="B17" s="1" t="str">
        <f ca="1">IFERROR(__xludf.DUMMYFUNCTION("""COMPUTED_VALUE"""),"mrnjwy2@gmail.com")</f>
        <v>mrnjwy2@gmail.com</v>
      </c>
      <c r="C17" s="1">
        <f ca="1">IFERROR(__xludf.DUMMYFUNCTION("""COMPUTED_VALUE"""),201202532074)</f>
        <v>201202532074</v>
      </c>
      <c r="D17" s="1" t="str">
        <f ca="1">IFERROR(__xludf.DUMMYFUNCTION("""COMPUTED_VALUE"""),"المنصوره ")</f>
        <v xml:space="preserve">المنصوره </v>
      </c>
      <c r="E17" s="12" t="str">
        <f ca="1">IFERROR(__xludf.DUMMYFUNCTION("""COMPUTED_VALUE"""),"https://www.facebook.com/gogosadek.ahmed?mibextid=ZbWKwL")</f>
        <v>https://www.facebook.com/gogosadek.ahmed?mibextid=ZbWKwL</v>
      </c>
      <c r="F17" s="1" t="str">
        <f ca="1">IFERROR(__xludf.DUMMYFUNCTION("""COMPUTED_VALUE"""),"nagwasadek ")</f>
        <v xml:space="preserve">nagwasadek </v>
      </c>
      <c r="G17" s="1"/>
      <c r="H17" s="12" t="str">
        <f ca="1">IFERROR(__xludf.DUMMYFUNCTION("""COMPUTED_VALUE"""),"https://www.linkedin.com/in/nagwa-sadek-a67212307?utm_source=share&amp;utm_campaign=share_via&amp;utm_content=profile&amp;utm_medium=android_app")</f>
        <v>https://www.linkedin.com/in/nagwa-sadek-a67212307?utm_source=share&amp;utm_campaign=share_via&amp;utm_content=profile&amp;utm_medium=android_app</v>
      </c>
      <c r="I17" s="12" t="str">
        <f ca="1">IFERROR(__xludf.DUMMYFUNCTION("""COMPUTED_VALUE"""),"https://github.com/nagwasadek")</f>
        <v>https://github.com/nagwasadek</v>
      </c>
      <c r="J17" s="1"/>
      <c r="K17" s="1" t="str">
        <f ca="1">IFERROR(__xludf.DUMMYFUNCTION("""COMPUTED_VALUE"""),"Mansoura University")</f>
        <v>Mansoura University</v>
      </c>
      <c r="L17" s="1"/>
      <c r="M17" s="1" t="str">
        <f ca="1">IFERROR(__xludf.DUMMYFUNCTION("""COMPUTED_VALUE"""),"Faculty of Computer &amp; Information Science")</f>
        <v>Faculty of Computer &amp; Information Science</v>
      </c>
      <c r="N17" s="1"/>
      <c r="O17" s="1" t="str">
        <f ca="1">IFERROR(__xludf.DUMMYFUNCTION("""COMPUTED_VALUE"""),"2nd Year")</f>
        <v>2nd Year</v>
      </c>
      <c r="R17" s="1" t="s">
        <v>185</v>
      </c>
      <c r="S17" s="1" t="s">
        <v>173</v>
      </c>
    </row>
    <row r="18" spans="1:19">
      <c r="A18" s="1" t="str">
        <f ca="1">IFERROR(__xludf.DUMMYFUNCTION("""COMPUTED_VALUE"""),"Rawan Fawzy Abd Al-Mawjoud")</f>
        <v>Rawan Fawzy Abd Al-Mawjoud</v>
      </c>
      <c r="B18" s="1" t="str">
        <f ca="1">IFERROR(__xludf.DUMMYFUNCTION("""COMPUTED_VALUE"""),"rawanfawzy29@gmail.com")</f>
        <v>rawanfawzy29@gmail.com</v>
      </c>
      <c r="C18" s="1">
        <f ca="1">IFERROR(__xludf.DUMMYFUNCTION("""COMPUTED_VALUE"""),201015167101)</f>
        <v>201015167101</v>
      </c>
      <c r="D18" s="1" t="str">
        <f ca="1">IFERROR(__xludf.DUMMYFUNCTION("""COMPUTED_VALUE"""),"Mit-Ghamr, Dakahlia")</f>
        <v>Mit-Ghamr, Dakahlia</v>
      </c>
      <c r="E18" s="12" t="str">
        <f ca="1">IFERROR(__xludf.DUMMYFUNCTION("""COMPUTED_VALUE"""),"https://www.facebook.com/share/1AgKdTaQEj/")</f>
        <v>https://www.facebook.com/share/1AgKdTaQEj/</v>
      </c>
      <c r="F18" s="1"/>
      <c r="G18" s="1"/>
      <c r="H18" s="12" t="str">
        <f ca="1">IFERROR(__xludf.DUMMYFUNCTION("""COMPUTED_VALUE"""),"www.linkedin.com/in/rawan-fawzy-rf4")</f>
        <v>www.linkedin.com/in/rawan-fawzy-rf4</v>
      </c>
      <c r="I18" s="1"/>
      <c r="J18" s="1"/>
      <c r="K18" s="1" t="str">
        <f ca="1">IFERROR(__xludf.DUMMYFUNCTION("""COMPUTED_VALUE"""),"Mansoura University")</f>
        <v>Mansoura University</v>
      </c>
      <c r="L18" s="1"/>
      <c r="M18" s="1" t="str">
        <f ca="1">IFERROR(__xludf.DUMMYFUNCTION("""COMPUTED_VALUE"""),"Faculty of Engineering")</f>
        <v>Faculty of Engineering</v>
      </c>
      <c r="N18" s="1"/>
      <c r="O18" s="1" t="str">
        <f ca="1">IFERROR(__xludf.DUMMYFUNCTION("""COMPUTED_VALUE"""),"2nd Year")</f>
        <v>2nd Year</v>
      </c>
      <c r="R18" s="1" t="s">
        <v>39</v>
      </c>
      <c r="S18" s="1" t="s">
        <v>173</v>
      </c>
    </row>
    <row r="19" spans="1:19">
      <c r="A19" s="1" t="str">
        <f ca="1">IFERROR(__xludf.DUMMYFUNCTION("""COMPUTED_VALUE"""),"Rahma Hosam Salem")</f>
        <v>Rahma Hosam Salem</v>
      </c>
      <c r="B19" s="1" t="str">
        <f ca="1">IFERROR(__xludf.DUMMYFUNCTION("""COMPUTED_VALUE"""),"YomaHosam@gmail.com")</f>
        <v>YomaHosam@gmail.com</v>
      </c>
      <c r="C19" s="1">
        <f ca="1">IFERROR(__xludf.DUMMYFUNCTION("""COMPUTED_VALUE"""),201018245410)</f>
        <v>201018245410</v>
      </c>
      <c r="D19" s="1" t="str">
        <f ca="1">IFERROR(__xludf.DUMMYFUNCTION("""COMPUTED_VALUE"""),"Sherbin, Ras El-Khalig")</f>
        <v>Sherbin, Ras El-Khalig</v>
      </c>
      <c r="E19" s="12" t="str">
        <f ca="1">IFERROR(__xludf.DUMMYFUNCTION("""COMPUTED_VALUE"""),"https://www.facebook.com/share/1BT4jW528k/")</f>
        <v>https://www.facebook.com/share/1BT4jW528k/</v>
      </c>
      <c r="F19" s="1" t="str">
        <f ca="1">IFERROR(__xludf.DUMMYFUNCTION("""COMPUTED_VALUE"""),"rahmahosam_61923")</f>
        <v>rahmahosam_61923</v>
      </c>
      <c r="G19" s="12" t="str">
        <f ca="1">IFERROR(__xludf.DUMMYFUNCTION("""COMPUTED_VALUE"""),"https://x.com/RahmaHosam15562?t=0xemaHjoxTc6cNmEfiYu0g&amp;s=35")</f>
        <v>https://x.com/RahmaHosam15562?t=0xemaHjoxTc6cNmEfiYu0g&amp;s=35</v>
      </c>
      <c r="H19" s="12" t="str">
        <f ca="1">IFERROR(__xludf.DUMMYFUNCTION("""COMPUTED_VALUE"""),"https://www.linkedin.com/in/rahma-hosam-khadam-66b451337/")</f>
        <v>https://www.linkedin.com/in/rahma-hosam-khadam-66b451337/</v>
      </c>
      <c r="I19" s="12" t="str">
        <f ca="1">IFERROR(__xludf.DUMMYFUNCTION("""COMPUTED_VALUE"""),"https://github.com/Rahma-Hosam")</f>
        <v>https://github.com/Rahma-Hosam</v>
      </c>
      <c r="J19" s="12" t="str">
        <f ca="1">IFERROR(__xludf.DUMMYFUNCTION("""COMPUTED_VALUE"""),"https://github.com/Rahma-Hosam")</f>
        <v>https://github.com/Rahma-Hosam</v>
      </c>
      <c r="K19" s="1" t="str">
        <f ca="1">IFERROR(__xludf.DUMMYFUNCTION("""COMPUTED_VALUE"""),"Mansoura University")</f>
        <v>Mansoura University</v>
      </c>
      <c r="L19" s="1"/>
      <c r="M19" s="1" t="str">
        <f ca="1">IFERROR(__xludf.DUMMYFUNCTION("""COMPUTED_VALUE"""),"Faculty of Computer &amp; Information Science")</f>
        <v>Faculty of Computer &amp; Information Science</v>
      </c>
      <c r="N19" s="1"/>
      <c r="O19" s="1" t="str">
        <f ca="1">IFERROR(__xludf.DUMMYFUNCTION("""COMPUTED_VALUE"""),"2nd Year")</f>
        <v>2nd Year</v>
      </c>
      <c r="R19" s="1" t="s">
        <v>186</v>
      </c>
      <c r="S19" s="1" t="s">
        <v>173</v>
      </c>
    </row>
    <row r="20" spans="1:19">
      <c r="A20" s="1" t="str">
        <f ca="1">IFERROR(__xludf.DUMMYFUNCTION("""COMPUTED_VALUE"""),"Mohamed Ebrahim abdelhamed mohamed ragab ")</f>
        <v xml:space="preserve">Mohamed Ebrahim abdelhamed mohamed ragab </v>
      </c>
      <c r="B20" s="1" t="str">
        <f ca="1">IFERROR(__xludf.DUMMYFUNCTION("""COMPUTED_VALUE"""),"medoebrvhim@gmail.com")</f>
        <v>medoebrvhim@gmail.com</v>
      </c>
      <c r="C20" s="1">
        <f ca="1">IFERROR(__xludf.DUMMYFUNCTION("""COMPUTED_VALUE"""),201010131020)</f>
        <v>201010131020</v>
      </c>
      <c r="D20" s="1" t="str">
        <f ca="1">IFERROR(__xludf.DUMMYFUNCTION("""COMPUTED_VALUE"""),"Mansoura ")</f>
        <v xml:space="preserve">Mansoura </v>
      </c>
      <c r="E20" s="12" t="str">
        <f ca="1">IFERROR(__xludf.DUMMYFUNCTION("""COMPUTED_VALUE"""),"https://www.facebook.com/profile.php?id=61568242142335&amp;mibextid=ZbWKwL")</f>
        <v>https://www.facebook.com/profile.php?id=61568242142335&amp;mibextid=ZbWKwL</v>
      </c>
      <c r="F20" s="1"/>
      <c r="G20" s="1"/>
      <c r="H20" s="1"/>
      <c r="I20" s="1"/>
      <c r="J20" s="1"/>
      <c r="K20" s="1" t="str">
        <f ca="1">IFERROR(__xludf.DUMMYFUNCTION("""COMPUTED_VALUE"""),"Mansoura University")</f>
        <v>Mansoura University</v>
      </c>
      <c r="L20" s="1"/>
      <c r="M20" s="1" t="str">
        <f ca="1">IFERROR(__xludf.DUMMYFUNCTION("""COMPUTED_VALUE"""),"Faculty of Computer &amp; Information Science")</f>
        <v>Faculty of Computer &amp; Information Science</v>
      </c>
      <c r="N20" s="1"/>
      <c r="O20" s="1" t="str">
        <f ca="1">IFERROR(__xludf.DUMMYFUNCTION("""COMPUTED_VALUE"""),"1st Year")</f>
        <v>1st Year</v>
      </c>
      <c r="R20" s="1" t="s">
        <v>3</v>
      </c>
      <c r="S20" s="1" t="s">
        <v>176</v>
      </c>
    </row>
    <row r="21" spans="1:19">
      <c r="A21" s="1" t="str">
        <f ca="1">IFERROR(__xludf.DUMMYFUNCTION("""COMPUTED_VALUE"""),"Omar Alaa")</f>
        <v>Omar Alaa</v>
      </c>
      <c r="B21" s="1" t="str">
        <f ca="1">IFERROR(__xludf.DUMMYFUNCTION("""COMPUTED_VALUE"""),"omaralaa23231@gmail.com")</f>
        <v>omaralaa23231@gmail.com</v>
      </c>
      <c r="C21" s="1">
        <f ca="1">IFERROR(__xludf.DUMMYFUNCTION("""COMPUTED_VALUE"""),201145204285)</f>
        <v>201145204285</v>
      </c>
      <c r="D21" s="1" t="str">
        <f ca="1">IFERROR(__xludf.DUMMYFUNCTION("""COMPUTED_VALUE"""),"N/A")</f>
        <v>N/A</v>
      </c>
      <c r="E21" s="12" t="str">
        <f ca="1">IFERROR(__xludf.DUMMYFUNCTION("""COMPUTED_VALUE"""),"https://www.facebook.com/profile.php?id=100072713473161")</f>
        <v>https://www.facebook.com/profile.php?id=100072713473161</v>
      </c>
      <c r="F21" s="1" t="str">
        <f ca="1">IFERROR(__xludf.DUMMYFUNCTION("""COMPUTED_VALUE"""),"itzrealol")</f>
        <v>itzrealol</v>
      </c>
      <c r="G21" s="1"/>
      <c r="H21" s="1"/>
      <c r="I21" s="1"/>
      <c r="J21" s="1"/>
      <c r="K21" s="1" t="str">
        <f ca="1">IFERROR(__xludf.DUMMYFUNCTION("""COMPUTED_VALUE"""),"Mansoura University")</f>
        <v>Mansoura University</v>
      </c>
      <c r="L21" s="1"/>
      <c r="M21" s="1" t="str">
        <f ca="1">IFERROR(__xludf.DUMMYFUNCTION("""COMPUTED_VALUE"""),"Faculty of Computer &amp; Information Science")</f>
        <v>Faculty of Computer &amp; Information Science</v>
      </c>
      <c r="N21" s="1"/>
      <c r="O21" s="1" t="str">
        <f ca="1">IFERROR(__xludf.DUMMYFUNCTION("""COMPUTED_VALUE"""),"1st Year")</f>
        <v>1st Year</v>
      </c>
      <c r="R21" s="1" t="s">
        <v>187</v>
      </c>
      <c r="S21" s="1" t="s">
        <v>176</v>
      </c>
    </row>
    <row r="22" spans="1:19">
      <c r="A22" s="1" t="str">
        <f ca="1">IFERROR(__xludf.DUMMYFUNCTION("""COMPUTED_VALUE"""),"Doha Hussein Borham Hassan ")</f>
        <v xml:space="preserve">Doha Hussein Borham Hassan </v>
      </c>
      <c r="B22" s="1" t="str">
        <f ca="1">IFERROR(__xludf.DUMMYFUNCTION("""COMPUTED_VALUE"""),"dohahussienborhamshadi@gmail.com")</f>
        <v>dohahussienborhamshadi@gmail.com</v>
      </c>
      <c r="C22" s="1">
        <f ca="1">IFERROR(__xludf.DUMMYFUNCTION("""COMPUTED_VALUE"""),201012822403)</f>
        <v>201012822403</v>
      </c>
      <c r="D22" s="1" t="str">
        <f ca="1">IFERROR(__xludf.DUMMYFUNCTION("""COMPUTED_VALUE"""),"Mansoura ")</f>
        <v xml:space="preserve">Mansoura </v>
      </c>
      <c r="E22" s="12" t="str">
        <f ca="1">IFERROR(__xludf.DUMMYFUNCTION("""COMPUTED_VALUE"""),"https://www.facebook.com/doha.shadi.1")</f>
        <v>https://www.facebook.com/doha.shadi.1</v>
      </c>
      <c r="F22" s="1" t="str">
        <f ca="1">IFERROR(__xludf.DUMMYFUNCTION("""COMPUTED_VALUE"""),"Doha-Hussein")</f>
        <v>Doha-Hussein</v>
      </c>
      <c r="G22" s="1"/>
      <c r="H22" s="12" t="str">
        <f ca="1">IFERROR(__xludf.DUMMYFUNCTION("""COMPUTED_VALUE"""),"https://www.linkedin.com/in/doha-hussein-5aa88a299?utm_source=share&amp;utm_campaign=share_via&amp;utm_content=profile&amp;utm_medium=android_app")</f>
        <v>https://www.linkedin.com/in/doha-hussein-5aa88a299?utm_source=share&amp;utm_campaign=share_via&amp;utm_content=profile&amp;utm_medium=android_app</v>
      </c>
      <c r="I22" s="1"/>
      <c r="J22" s="1"/>
      <c r="K22" s="1" t="str">
        <f ca="1">IFERROR(__xludf.DUMMYFUNCTION("""COMPUTED_VALUE"""),"MET")</f>
        <v>MET</v>
      </c>
      <c r="L22" s="1"/>
      <c r="M22" s="1" t="str">
        <f ca="1">IFERROR(__xludf.DUMMYFUNCTION("""COMPUTED_VALUE"""),"Faculty of Engineering")</f>
        <v>Faculty of Engineering</v>
      </c>
      <c r="N22" s="1"/>
      <c r="O22" s="1" t="str">
        <f ca="1">IFERROR(__xludf.DUMMYFUNCTION("""COMPUTED_VALUE"""),"1st Year")</f>
        <v>1st Year</v>
      </c>
      <c r="R22" s="1" t="s">
        <v>188</v>
      </c>
      <c r="S22" s="1" t="s">
        <v>176</v>
      </c>
    </row>
    <row r="23" spans="1:19">
      <c r="A23" s="1" t="str">
        <f ca="1">IFERROR(__xludf.DUMMYFUNCTION("""COMPUTED_VALUE"""),"محمد فكري المندوه محمد الرحل ")</f>
        <v xml:space="preserve">محمد فكري المندوه محمد الرحل </v>
      </c>
      <c r="B23" s="1" t="str">
        <f ca="1">IFERROR(__xludf.DUMMYFUNCTION("""COMPUTED_VALUE"""),"mohamedelrahll9@gmail.com")</f>
        <v>mohamedelrahll9@gmail.com</v>
      </c>
      <c r="C23" s="1">
        <f ca="1">IFERROR(__xludf.DUMMYFUNCTION("""COMPUTED_VALUE"""),201002581918)</f>
        <v>201002581918</v>
      </c>
      <c r="D23" s="1" t="str">
        <f ca="1">IFERROR(__xludf.DUMMYFUNCTION("""COMPUTED_VALUE"""),"Mansoura ")</f>
        <v xml:space="preserve">Mansoura </v>
      </c>
      <c r="E23" s="12" t="str">
        <f ca="1">IFERROR(__xludf.DUMMYFUNCTION("""COMPUTED_VALUE"""),"https://www.facebook.com/mohamed.elrahll?mibextid=ZbWKwL")</f>
        <v>https://www.facebook.com/mohamed.elrahll?mibextid=ZbWKwL</v>
      </c>
      <c r="F23" s="1"/>
      <c r="G23" s="12" t="str">
        <f ca="1">IFERROR(__xludf.DUMMYFUNCTION("""COMPUTED_VALUE"""),"https://x.com/Mohamed_Elrahll?t=ffVyQ5H43JB_PXzyOAnjPw&amp;s=09")</f>
        <v>https://x.com/Mohamed_Elrahll?t=ffVyQ5H43JB_PXzyOAnjPw&amp;s=09</v>
      </c>
      <c r="H23" s="12" t="str">
        <f ca="1">IFERROR(__xludf.DUMMYFUNCTION("""COMPUTED_VALUE"""),"https://www.linkedin.com/in/mohamed-elrahl/")</f>
        <v>https://www.linkedin.com/in/mohamed-elrahl/</v>
      </c>
      <c r="I23" s="12" t="str">
        <f ca="1">IFERROR(__xludf.DUMMYFUNCTION("""COMPUTED_VALUE"""),"https://github.com/mohamedelrahl")</f>
        <v>https://github.com/mohamedelrahl</v>
      </c>
      <c r="J23" s="1"/>
      <c r="K23" s="1" t="str">
        <f ca="1">IFERROR(__xludf.DUMMYFUNCTION("""COMPUTED_VALUE"""),"Mansoura University")</f>
        <v>Mansoura University</v>
      </c>
      <c r="L23" s="1"/>
      <c r="M23" s="1" t="str">
        <f ca="1">IFERROR(__xludf.DUMMYFUNCTION("""COMPUTED_VALUE"""),"Faculty of Computer &amp; Information Science")</f>
        <v>Faculty of Computer &amp; Information Science</v>
      </c>
      <c r="N23" s="1"/>
      <c r="O23" s="1" t="str">
        <f ca="1">IFERROR(__xludf.DUMMYFUNCTION("""COMPUTED_VALUE"""),"1st Year")</f>
        <v>1st Year</v>
      </c>
      <c r="R23" s="1" t="s">
        <v>189</v>
      </c>
      <c r="S23" s="1" t="s">
        <v>176</v>
      </c>
    </row>
    <row r="24" spans="1:19">
      <c r="A24" s="1" t="str">
        <f ca="1">IFERROR(__xludf.DUMMYFUNCTION("""COMPUTED_VALUE"""),"Mariam Mansour")</f>
        <v>Mariam Mansour</v>
      </c>
      <c r="B24" s="1" t="str">
        <f ca="1">IFERROR(__xludf.DUMMYFUNCTION("""COMPUTED_VALUE"""),"mm9360487@gmail.com")</f>
        <v>mm9360487@gmail.com</v>
      </c>
      <c r="C24" s="1">
        <f ca="1">IFERROR(__xludf.DUMMYFUNCTION("""COMPUTED_VALUE"""),201029291886)</f>
        <v>201029291886</v>
      </c>
      <c r="D24" s="1" t="str">
        <f ca="1">IFERROR(__xludf.DUMMYFUNCTION("""COMPUTED_VALUE"""),"New Damitta")</f>
        <v>New Damitta</v>
      </c>
      <c r="E24" s="12" t="str">
        <f ca="1">IFERROR(__xludf.DUMMYFUNCTION("""COMPUTED_VALUE"""),"https://www.facebook.com/profile.php?id=100025329665470&amp;mibextid=LQQJ4d")</f>
        <v>https://www.facebook.com/profile.php?id=100025329665470&amp;mibextid=LQQJ4d</v>
      </c>
      <c r="F24" s="1" t="str">
        <f ca="1">IFERROR(__xludf.DUMMYFUNCTION("""COMPUTED_VALUE"""),"I don’t have account ")</f>
        <v xml:space="preserve">I don’t have account </v>
      </c>
      <c r="G24" s="12" t="str">
        <f ca="1">IFERROR(__xludf.DUMMYFUNCTION("""COMPUTED_VALUE"""),"https://x.com/mariamm7m?s=21")</f>
        <v>https://x.com/mariamm7m?s=21</v>
      </c>
      <c r="H24" s="12" t="str">
        <f ca="1">IFERROR(__xludf.DUMMYFUNCTION("""COMPUTED_VALUE"""),"https://www.linkedin.com/in/mariam-mansour-73a494330?utm_source=share&amp;utm_campaign=share_via&amp;utm_content=profile&amp;utm_medium=ios_app")</f>
        <v>https://www.linkedin.com/in/mariam-mansour-73a494330?utm_source=share&amp;utm_campaign=share_via&amp;utm_content=profile&amp;utm_medium=ios_app</v>
      </c>
      <c r="I24" s="1"/>
      <c r="J24" s="1"/>
      <c r="K24" s="1" t="str">
        <f ca="1">IFERROR(__xludf.DUMMYFUNCTION("""COMPUTED_VALUE"""),"Mansoura University")</f>
        <v>Mansoura University</v>
      </c>
      <c r="L24" s="1"/>
      <c r="M24" s="1" t="str">
        <f ca="1">IFERROR(__xludf.DUMMYFUNCTION("""COMPUTED_VALUE"""),"Faculty of Computer &amp; Information Science")</f>
        <v>Faculty of Computer &amp; Information Science</v>
      </c>
      <c r="N24" s="1"/>
      <c r="O24" s="1" t="str">
        <f ca="1">IFERROR(__xludf.DUMMYFUNCTION("""COMPUTED_VALUE"""),"2nd Year")</f>
        <v>2nd Year</v>
      </c>
      <c r="R24" s="1" t="s">
        <v>47</v>
      </c>
      <c r="S24" s="1" t="s">
        <v>173</v>
      </c>
    </row>
    <row r="25" spans="1:19">
      <c r="A25" s="1" t="str">
        <f ca="1">IFERROR(__xludf.DUMMYFUNCTION("""COMPUTED_VALUE"""),"Mohamed Naeem ")</f>
        <v xml:space="preserve">Mohamed Naeem </v>
      </c>
      <c r="B25" s="1" t="str">
        <f ca="1">IFERROR(__xludf.DUMMYFUNCTION("""COMPUTED_VALUE"""),"naemm2048@gmail.com")</f>
        <v>naemm2048@gmail.com</v>
      </c>
      <c r="C25" s="1">
        <f ca="1">IFERROR(__xludf.DUMMYFUNCTION("""COMPUTED_VALUE"""),201010528743)</f>
        <v>201010528743</v>
      </c>
      <c r="D25" s="1" t="str">
        <f ca="1">IFERROR(__xludf.DUMMYFUNCTION("""COMPUTED_VALUE"""),"Mansoura")</f>
        <v>Mansoura</v>
      </c>
      <c r="E25" s="12" t="str">
        <f ca="1">IFERROR(__xludf.DUMMYFUNCTION("""COMPUTED_VALUE"""),"https://Facebook.com")</f>
        <v>https://Facebook.com</v>
      </c>
      <c r="F25" s="1" t="str">
        <f ca="1">IFERROR(__xludf.DUMMYFUNCTION("""COMPUTED_VALUE"""),"I don't have ")</f>
        <v xml:space="preserve">I don't have </v>
      </c>
      <c r="G25" s="1"/>
      <c r="H25" s="12" t="str">
        <f ca="1">IFERROR(__xludf.DUMMYFUNCTION("""COMPUTED_VALUE"""),"https://www.linkedin.com/in/mohamednaeem11/")</f>
        <v>https://www.linkedin.com/in/mohamednaeem11/</v>
      </c>
      <c r="I25" s="12" t="str">
        <f ca="1">IFERROR(__xludf.DUMMYFUNCTION("""COMPUTED_VALUE"""),"github.com/mohamednaeemm/")</f>
        <v>github.com/mohamednaeemm/</v>
      </c>
      <c r="J25" s="1"/>
      <c r="K25" s="1" t="str">
        <f ca="1">IFERROR(__xludf.DUMMYFUNCTION("""COMPUTED_VALUE"""),"Mansoura University")</f>
        <v>Mansoura University</v>
      </c>
      <c r="L25" s="1"/>
      <c r="M25" s="1" t="str">
        <f ca="1">IFERROR(__xludf.DUMMYFUNCTION("""COMPUTED_VALUE"""),"Faculty of Engineering")</f>
        <v>Faculty of Engineering</v>
      </c>
      <c r="N25" s="1"/>
      <c r="O25" s="1" t="str">
        <f ca="1">IFERROR(__xludf.DUMMYFUNCTION("""COMPUTED_VALUE"""),"3rd Year")</f>
        <v>3rd Year</v>
      </c>
      <c r="R25" s="1" t="s">
        <v>190</v>
      </c>
      <c r="S25" s="1" t="s">
        <v>170</v>
      </c>
    </row>
    <row r="26" spans="1:19">
      <c r="A26" s="1" t="str">
        <f ca="1">IFERROR(__xludf.DUMMYFUNCTION("""COMPUTED_VALUE"""),"mariam mahmoud")</f>
        <v>mariam mahmoud</v>
      </c>
      <c r="B26" s="1" t="str">
        <f ca="1">IFERROR(__xludf.DUMMYFUNCTION("""COMPUTED_VALUE"""),"maryammmmmahmwd44@gmail.com")</f>
        <v>maryammmmmahmwd44@gmail.com</v>
      </c>
      <c r="C26" s="1">
        <f ca="1">IFERROR(__xludf.DUMMYFUNCTION("""COMPUTED_VALUE"""),201029533421)</f>
        <v>201029533421</v>
      </c>
      <c r="D26" s="1" t="str">
        <f ca="1">IFERROR(__xludf.DUMMYFUNCTION("""COMPUTED_VALUE"""),"mansura")</f>
        <v>mansura</v>
      </c>
      <c r="E26" s="12" t="str">
        <f ca="1">IFERROR(__xludf.DUMMYFUNCTION("""COMPUTED_VALUE"""),"https://www.facebook.com/share/15RVvPZFuz/?mibextid=qi2Omg")</f>
        <v>https://www.facebook.com/share/15RVvPZFuz/?mibextid=qi2Omg</v>
      </c>
      <c r="F26" s="1" t="str">
        <f ca="1">IFERROR(__xludf.DUMMYFUNCTION("""COMPUTED_VALUE"""),"mariam0606")</f>
        <v>mariam0606</v>
      </c>
      <c r="G26" s="12" t="str">
        <f ca="1">IFERROR(__xludf.DUMMYFUNCTION("""COMPUTED_VALUE"""),"https://x.com/mariamMahmwd")</f>
        <v>https://x.com/mariamMahmwd</v>
      </c>
      <c r="H26" s="12" t="str">
        <f ca="1">IFERROR(__xludf.DUMMYFUNCTION("""COMPUTED_VALUE"""),"https://www.linkedin.com/in/mariam-mahmoud-4a4576325?utm_source=share&amp;utm_campaign=share_via&amp;utm_content=profile&amp;utm_medium=android_app")</f>
        <v>https://www.linkedin.com/in/mariam-mahmoud-4a4576325?utm_source=share&amp;utm_campaign=share_via&amp;utm_content=profile&amp;utm_medium=android_app</v>
      </c>
      <c r="I26" s="12" t="str">
        <f ca="1">IFERROR(__xludf.DUMMYFUNCTION("""COMPUTED_VALUE"""),"https://github.com/mariammahmwd/mariammahmwd")</f>
        <v>https://github.com/mariammahmwd/mariammahmwd</v>
      </c>
      <c r="J26" s="12" t="str">
        <f ca="1">IFERROR(__xludf.DUMMYFUNCTION("""COMPUTED_VALUE"""),"https://www.behance.net/mariammahmoud109")</f>
        <v>https://www.behance.net/mariammahmoud109</v>
      </c>
      <c r="K26" s="1" t="str">
        <f ca="1">IFERROR(__xludf.DUMMYFUNCTION("""COMPUTED_VALUE"""),"Mansoura University")</f>
        <v>Mansoura University</v>
      </c>
      <c r="L26" s="1"/>
      <c r="M26" s="1" t="str">
        <f ca="1">IFERROR(__xludf.DUMMYFUNCTION("""COMPUTED_VALUE"""),"Faculty of Computer &amp; Information Science")</f>
        <v>Faculty of Computer &amp; Information Science</v>
      </c>
      <c r="N26" s="1"/>
      <c r="O26" s="1" t="str">
        <f ca="1">IFERROR(__xludf.DUMMYFUNCTION("""COMPUTED_VALUE"""),"2nd Year")</f>
        <v>2nd Year</v>
      </c>
      <c r="R26" s="1" t="s">
        <v>30</v>
      </c>
      <c r="S26" s="1" t="s">
        <v>173</v>
      </c>
    </row>
    <row r="27" spans="1:19">
      <c r="A27" s="1" t="str">
        <f ca="1">IFERROR(__xludf.DUMMYFUNCTION("""COMPUTED_VALUE"""),"Kareem Ibrahim Mohamed Ghanem")</f>
        <v>Kareem Ibrahim Mohamed Ghanem</v>
      </c>
      <c r="B27" s="1" t="str">
        <f ca="1">IFERROR(__xludf.DUMMYFUNCTION("""COMPUTED_VALUE"""),"ghanemk70@gmail.com")</f>
        <v>ghanemk70@gmail.com</v>
      </c>
      <c r="C27" s="1">
        <f ca="1">IFERROR(__xludf.DUMMYFUNCTION("""COMPUTED_VALUE"""),201200015651)</f>
        <v>201200015651</v>
      </c>
      <c r="D27" s="1" t="str">
        <f ca="1">IFERROR(__xludf.DUMMYFUNCTION("""COMPUTED_VALUE"""),"EL-Mahalla EL-Kubra")</f>
        <v>EL-Mahalla EL-Kubra</v>
      </c>
      <c r="E27" s="12" t="str">
        <f ca="1">IFERROR(__xludf.DUMMYFUNCTION("""COMPUTED_VALUE"""),"https://www.facebook.com/profile.php?id=100094448383261&amp;mibextid=ZbWKwL")</f>
        <v>https://www.facebook.com/profile.php?id=100094448383261&amp;mibextid=ZbWKwL</v>
      </c>
      <c r="F27" s="1" t="str">
        <f ca="1">IFERROR(__xludf.DUMMYFUNCTION("""COMPUTED_VALUE"""),"ghanemk70")</f>
        <v>ghanemk70</v>
      </c>
      <c r="G27" s="12" t="str">
        <f ca="1">IFERROR(__xludf.DUMMYFUNCTION("""COMPUTED_VALUE"""),"https://x.com/KareemGhan52384?t=WXr4q6czaG_FpjY_CsPvow&amp;s=09")</f>
        <v>https://x.com/KareemGhan52384?t=WXr4q6czaG_FpjY_CsPvow&amp;s=09</v>
      </c>
      <c r="H27" s="12" t="str">
        <f ca="1">IFERROR(__xludf.DUMMYFUNCTION("""COMPUTED_VALUE"""),"https://x.com/KareemGhan52384?t=WXr4q6czaG_FpjY_CsPvow&amp;s=09")</f>
        <v>https://x.com/KareemGhan52384?t=WXr4q6czaG_FpjY_CsPvow&amp;s=09</v>
      </c>
      <c r="I27" s="12" t="str">
        <f ca="1">IFERROR(__xludf.DUMMYFUNCTION("""COMPUTED_VALUE"""),"https://github.com/KareemGhanem0")</f>
        <v>https://github.com/KareemGhanem0</v>
      </c>
      <c r="J27" s="1"/>
      <c r="K27" s="1" t="str">
        <f ca="1">IFERROR(__xludf.DUMMYFUNCTION("""COMPUTED_VALUE"""),"Mansoura University")</f>
        <v>Mansoura University</v>
      </c>
      <c r="L27" s="1"/>
      <c r="M27" s="1" t="str">
        <f ca="1">IFERROR(__xludf.DUMMYFUNCTION("""COMPUTED_VALUE"""),"Faculty of Computer &amp; Information Science")</f>
        <v>Faculty of Computer &amp; Information Science</v>
      </c>
      <c r="N27" s="1"/>
      <c r="O27" s="1" t="str">
        <f ca="1">IFERROR(__xludf.DUMMYFUNCTION("""COMPUTED_VALUE"""),"4th Year")</f>
        <v>4th Year</v>
      </c>
      <c r="R27" s="1" t="s">
        <v>191</v>
      </c>
      <c r="S27" s="1" t="s">
        <v>192</v>
      </c>
    </row>
    <row r="28" spans="1:19">
      <c r="A28" s="1" t="str">
        <f ca="1">IFERROR(__xludf.DUMMYFUNCTION("""COMPUTED_VALUE"""),"Manar Mohamed Hussin El habbal ")</f>
        <v xml:space="preserve">Manar Mohamed Hussin El habbal </v>
      </c>
      <c r="B28" s="1" t="str">
        <f ca="1">IFERROR(__xludf.DUMMYFUNCTION("""COMPUTED_VALUE"""),"manarelhabbal28@gmail.com")</f>
        <v>manarelhabbal28@gmail.com</v>
      </c>
      <c r="C28" s="1">
        <f ca="1">IFERROR(__xludf.DUMMYFUNCTION("""COMPUTED_VALUE"""),201152963268)</f>
        <v>201152963268</v>
      </c>
      <c r="D28" s="1" t="str">
        <f ca="1">IFERROR(__xludf.DUMMYFUNCTION("""COMPUTED_VALUE"""),"El mahala Elkobra ")</f>
        <v xml:space="preserve">El mahala Elkobra </v>
      </c>
      <c r="E28" s="12" t="str">
        <f ca="1">IFERROR(__xludf.DUMMYFUNCTION("""COMPUTED_VALUE"""),"https://www.facebook.com/share/19YzHcXVG6/")</f>
        <v>https://www.facebook.com/share/19YzHcXVG6/</v>
      </c>
      <c r="F28" s="1" t="str">
        <f ca="1">IFERROR(__xludf.DUMMYFUNCTION("""COMPUTED_VALUE"""),"manarelhabbal")</f>
        <v>manarelhabbal</v>
      </c>
      <c r="G28" s="1"/>
      <c r="H28" s="12" t="str">
        <f ca="1">IFERROR(__xludf.DUMMYFUNCTION("""COMPUTED_VALUE"""),"https://www.linkedin.com/in/manar-elhabbal-035968317")</f>
        <v>https://www.linkedin.com/in/manar-elhabbal-035968317</v>
      </c>
      <c r="I28" s="12" t="str">
        <f ca="1">IFERROR(__xludf.DUMMYFUNCTION("""COMPUTED_VALUE"""),"https://github.com/PS-Manar-El7abbal")</f>
        <v>https://github.com/PS-Manar-El7abbal</v>
      </c>
      <c r="J28" s="12" t="str">
        <f ca="1">IFERROR(__xludf.DUMMYFUNCTION("""COMPUTED_VALUE"""),"https://www.behance.net/manarelhabbal")</f>
        <v>https://www.behance.net/manarelhabbal</v>
      </c>
      <c r="K28" s="1" t="str">
        <f ca="1">IFERROR(__xludf.DUMMYFUNCTION("""COMPUTED_VALUE"""),"Mansoura University")</f>
        <v>Mansoura University</v>
      </c>
      <c r="L28" s="1"/>
      <c r="M28" s="1" t="str">
        <f ca="1">IFERROR(__xludf.DUMMYFUNCTION("""COMPUTED_VALUE"""),"Faculty of Computer &amp; Information Science")</f>
        <v>Faculty of Computer &amp; Information Science</v>
      </c>
      <c r="N28" s="1"/>
      <c r="O28" s="1" t="str">
        <f ca="1">IFERROR(__xludf.DUMMYFUNCTION("""COMPUTED_VALUE"""),"2nd Year")</f>
        <v>2nd Year</v>
      </c>
      <c r="R28" s="1" t="s">
        <v>193</v>
      </c>
      <c r="S28" s="1" t="s">
        <v>173</v>
      </c>
    </row>
    <row r="29" spans="1:19">
      <c r="A29" s="1" t="str">
        <f ca="1">IFERROR(__xludf.DUMMYFUNCTION("""COMPUTED_VALUE"""),"Mohamed Reda")</f>
        <v>Mohamed Reda</v>
      </c>
      <c r="B29" s="1" t="str">
        <f ca="1">IFERROR(__xludf.DUMMYFUNCTION("""COMPUTED_VALUE"""),"momreda412@gmail.com")</f>
        <v>momreda412@gmail.com</v>
      </c>
      <c r="C29" s="1">
        <f ca="1">IFERROR(__xludf.DUMMYFUNCTION("""COMPUTED_VALUE"""),201022850074)</f>
        <v>201022850074</v>
      </c>
      <c r="D29" s="1" t="str">
        <f ca="1">IFERROR(__xludf.DUMMYFUNCTION("""COMPUTED_VALUE"""),"El mokataa El senbellawen Eldakahleya")</f>
        <v>El mokataa El senbellawen Eldakahleya</v>
      </c>
      <c r="E29" s="12" t="str">
        <f ca="1">IFERROR(__xludf.DUMMYFUNCTION("""COMPUTED_VALUE"""),"https://www.facebook.com/mohamedreda.mohamed.921/")</f>
        <v>https://www.facebook.com/mohamedreda.mohamed.921/</v>
      </c>
      <c r="F29" s="1" t="str">
        <f ca="1">IFERROR(__xludf.DUMMYFUNCTION("""COMPUTED_VALUE"""),"mohamed_reda_10")</f>
        <v>mohamed_reda_10</v>
      </c>
      <c r="G29" s="1"/>
      <c r="H29" s="12" t="str">
        <f ca="1">IFERROR(__xludf.DUMMYFUNCTION("""COMPUTED_VALUE"""),"https://www.linkedin.com/in/mohammed--reda")</f>
        <v>https://www.linkedin.com/in/mohammed--reda</v>
      </c>
      <c r="I29" s="12" t="str">
        <f ca="1">IFERROR(__xludf.DUMMYFUNCTION("""COMPUTED_VALUE"""),"https://github.com/M0hammed-Reda")</f>
        <v>https://github.com/M0hammed-Reda</v>
      </c>
      <c r="J29" s="1"/>
      <c r="K29" s="1" t="str">
        <f ca="1">IFERROR(__xludf.DUMMYFUNCTION("""COMPUTED_VALUE"""),"Mansoura University")</f>
        <v>Mansoura University</v>
      </c>
      <c r="L29" s="1"/>
      <c r="M29" s="1" t="str">
        <f ca="1">IFERROR(__xludf.DUMMYFUNCTION("""COMPUTED_VALUE"""),"Faculty of Computer &amp; Information Science")</f>
        <v>Faculty of Computer &amp; Information Science</v>
      </c>
      <c r="N29" s="1"/>
      <c r="O29" s="1" t="str">
        <f ca="1">IFERROR(__xludf.DUMMYFUNCTION("""COMPUTED_VALUE"""),"2nd Year")</f>
        <v>2nd Year</v>
      </c>
      <c r="R29" s="1" t="s">
        <v>194</v>
      </c>
      <c r="S29" s="1" t="s">
        <v>173</v>
      </c>
    </row>
    <row r="30" spans="1:19">
      <c r="A30" s="1" t="str">
        <f ca="1">IFERROR(__xludf.DUMMYFUNCTION("""COMPUTED_VALUE"""),"Mohamed Ahmed Mohamed Ateia Elkady")</f>
        <v>Mohamed Ahmed Mohamed Ateia Elkady</v>
      </c>
      <c r="B30" s="1" t="str">
        <f ca="1">IFERROR(__xludf.DUMMYFUNCTION("""COMPUTED_VALUE"""),"elkadymohamed880@gmail.com")</f>
        <v>elkadymohamed880@gmail.com</v>
      </c>
      <c r="C30" s="1">
        <f ca="1">IFERROR(__xludf.DUMMYFUNCTION("""COMPUTED_VALUE"""),201212002244)</f>
        <v>201212002244</v>
      </c>
      <c r="D30" s="1" t="str">
        <f ca="1">IFERROR(__xludf.DUMMYFUNCTION("""COMPUTED_VALUE"""),"Elteraa street elmansura")</f>
        <v>Elteraa street elmansura</v>
      </c>
      <c r="E30" s="12" t="str">
        <f ca="1">IFERROR(__xludf.DUMMYFUNCTION("""COMPUTED_VALUE"""),"https://www.facebook.com/profile.php?id=100009445209212&amp;mibextid=ZbWKwL")</f>
        <v>https://www.facebook.com/profile.php?id=100009445209212&amp;mibextid=ZbWKwL</v>
      </c>
      <c r="F30" s="12" t="str">
        <f ca="1">IFERROR(__xludf.DUMMYFUNCTION("""COMPUTED_VALUE"""),"https://discord.gg/3TtHrNqv")</f>
        <v>https://discord.gg/3TtHrNqv</v>
      </c>
      <c r="G30" s="1"/>
      <c r="H30" s="1"/>
      <c r="I30" s="1"/>
      <c r="J30" s="1"/>
      <c r="K30" s="1" t="str">
        <f ca="1">IFERROR(__xludf.DUMMYFUNCTION("""COMPUTED_VALUE"""),"Mansoura University")</f>
        <v>Mansoura University</v>
      </c>
      <c r="L30" s="1"/>
      <c r="M30" s="1" t="str">
        <f ca="1">IFERROR(__xludf.DUMMYFUNCTION("""COMPUTED_VALUE"""),"Faculty of Computer &amp; Information Science")</f>
        <v>Faculty of Computer &amp; Information Science</v>
      </c>
      <c r="N30" s="1"/>
      <c r="O30" s="1" t="str">
        <f ca="1">IFERROR(__xludf.DUMMYFUNCTION("""COMPUTED_VALUE"""),"1st Year")</f>
        <v>1st Year</v>
      </c>
      <c r="R30" s="1" t="s">
        <v>195</v>
      </c>
      <c r="S30" s="1" t="s">
        <v>176</v>
      </c>
    </row>
    <row r="31" spans="1:19">
      <c r="A31" s="1" t="str">
        <f ca="1">IFERROR(__xludf.DUMMYFUNCTION("""COMPUTED_VALUE"""),"Ganna Abdelrahman Mokhles Elkhen ")</f>
        <v xml:space="preserve">Ganna Abdelrahman Mokhles Elkhen </v>
      </c>
      <c r="B31" s="1" t="str">
        <f ca="1">IFERROR(__xludf.DUMMYFUNCTION("""COMPUTED_VALUE"""),"gannaelkhen@gmail.com")</f>
        <v>gannaelkhen@gmail.com</v>
      </c>
      <c r="C31" s="1">
        <f ca="1">IFERROR(__xludf.DUMMYFUNCTION("""COMPUTED_VALUE"""),201225385591)</f>
        <v>201225385591</v>
      </c>
      <c r="D31" s="1" t="str">
        <f ca="1">IFERROR(__xludf.DUMMYFUNCTION("""COMPUTED_VALUE"""),"Mansoura kafr badway ")</f>
        <v xml:space="preserve">Mansoura kafr badway </v>
      </c>
      <c r="E31" s="12" t="str">
        <f ca="1">IFERROR(__xludf.DUMMYFUNCTION("""COMPUTED_VALUE"""),"https://www.facebook.com/ganna.elkhen.77?mibextid=ZbWKwL")</f>
        <v>https://www.facebook.com/ganna.elkhen.77?mibextid=ZbWKwL</v>
      </c>
      <c r="F31" s="1" t="str">
        <f ca="1">IFERROR(__xludf.DUMMYFUNCTION("""COMPUTED_VALUE"""),"gannaelkhen")</f>
        <v>gannaelkhen</v>
      </c>
      <c r="G31" s="1"/>
      <c r="H31" s="1"/>
      <c r="I31" s="1"/>
      <c r="J31" s="1"/>
      <c r="K31" s="1" t="str">
        <f ca="1">IFERROR(__xludf.DUMMYFUNCTION("""COMPUTED_VALUE"""),"Mansoura University")</f>
        <v>Mansoura University</v>
      </c>
      <c r="L31" s="1"/>
      <c r="M31" s="1" t="str">
        <f ca="1">IFERROR(__xludf.DUMMYFUNCTION("""COMPUTED_VALUE"""),"Faculty of Computer &amp; Information Science")</f>
        <v>Faculty of Computer &amp; Information Science</v>
      </c>
      <c r="N31" s="1"/>
      <c r="O31" s="1" t="str">
        <f ca="1">IFERROR(__xludf.DUMMYFUNCTION("""COMPUTED_VALUE"""),"2nd Year")</f>
        <v>2nd Year</v>
      </c>
      <c r="R31" s="1" t="s">
        <v>196</v>
      </c>
      <c r="S31" s="1" t="s">
        <v>173</v>
      </c>
    </row>
    <row r="32" spans="1:19">
      <c r="A32" s="1" t="str">
        <f ca="1">IFERROR(__xludf.DUMMYFUNCTION("""COMPUTED_VALUE"""),"Noor Hussain Mwafi ")</f>
        <v xml:space="preserve">Noor Hussain Mwafi </v>
      </c>
      <c r="B32" s="1" t="str">
        <f ca="1">IFERROR(__xludf.DUMMYFUNCTION("""COMPUTED_VALUE"""),"nh634148@gmail.com")</f>
        <v>nh634148@gmail.com</v>
      </c>
      <c r="C32" s="1">
        <f ca="1">IFERROR(__xludf.DUMMYFUNCTION("""COMPUTED_VALUE"""),201225456950)</f>
        <v>201225456950</v>
      </c>
      <c r="D32" s="1" t="str">
        <f ca="1">IFERROR(__xludf.DUMMYFUNCTION("""COMPUTED_VALUE"""),"Tanta ")</f>
        <v xml:space="preserve">Tanta </v>
      </c>
      <c r="E32" s="12" t="str">
        <f ca="1">IFERROR(__xludf.DUMMYFUNCTION("""COMPUTED_VALUE"""),"https://www.facebook.com/share/17sM9Q3WqS/?mibextid=qi2Omg")</f>
        <v>https://www.facebook.com/share/17sM9Q3WqS/?mibextid=qi2Omg</v>
      </c>
      <c r="F32" s="1" t="str">
        <f ca="1">IFERROR(__xludf.DUMMYFUNCTION("""COMPUTED_VALUE"""),"No ")</f>
        <v xml:space="preserve">No </v>
      </c>
      <c r="G32" s="1"/>
      <c r="H32" s="12" t="str">
        <f ca="1">IFERROR(__xludf.DUMMYFUNCTION("""COMPUTED_VALUE"""),"https://www.linkedin.com/in/noor-hussain-b483942b0?utm_source=share&amp;utm_campaign=share_via&amp;utm_content=profile&amp;utm_medium=android_app")</f>
        <v>https://www.linkedin.com/in/noor-hussain-b483942b0?utm_source=share&amp;utm_campaign=share_via&amp;utm_content=profile&amp;utm_medium=android_app</v>
      </c>
      <c r="I32" s="1"/>
      <c r="J32" s="1"/>
      <c r="K32" s="1" t="str">
        <f ca="1">IFERROR(__xludf.DUMMYFUNCTION("""COMPUTED_VALUE"""),"Tanta University")</f>
        <v>Tanta University</v>
      </c>
      <c r="L32" s="1"/>
      <c r="M32" s="1" t="str">
        <f ca="1">IFERROR(__xludf.DUMMYFUNCTION("""COMPUTED_VALUE"""),"Faculty of Computer &amp; Information Science")</f>
        <v>Faculty of Computer &amp; Information Science</v>
      </c>
      <c r="N32" s="1"/>
      <c r="O32" s="1" t="str">
        <f ca="1">IFERROR(__xludf.DUMMYFUNCTION("""COMPUTED_VALUE"""),"2nd Year")</f>
        <v>2nd Year</v>
      </c>
      <c r="R32" s="1" t="s">
        <v>197</v>
      </c>
      <c r="S32" s="1" t="s">
        <v>173</v>
      </c>
    </row>
    <row r="33" spans="1:19">
      <c r="A33" s="1" t="str">
        <f ca="1">IFERROR(__xludf.DUMMYFUNCTION("""COMPUTED_VALUE"""),"Rahma Abd El_alim Abd El_alim Mohamed ")</f>
        <v xml:space="preserve">Rahma Abd El_alim Abd El_alim Mohamed </v>
      </c>
      <c r="B33" s="1" t="str">
        <f ca="1">IFERROR(__xludf.DUMMYFUNCTION("""COMPUTED_VALUE"""),"rahmaalimo1@gmail.com")</f>
        <v>rahmaalimo1@gmail.com</v>
      </c>
      <c r="C33" s="1">
        <f ca="1">IFERROR(__xludf.DUMMYFUNCTION("""COMPUTED_VALUE"""),201558890521)</f>
        <v>201558890521</v>
      </c>
      <c r="D33" s="1" t="str">
        <f ca="1">IFERROR(__xludf.DUMMYFUNCTION("""COMPUTED_VALUE"""),"Mansoura ")</f>
        <v xml:space="preserve">Mansoura </v>
      </c>
      <c r="E33" s="12" t="str">
        <f ca="1">IFERROR(__xludf.DUMMYFUNCTION("""COMPUTED_VALUE"""),"https://www.facebook.com/rahma.alimo?mibextid=ZbWKwL")</f>
        <v>https://www.facebook.com/rahma.alimo?mibextid=ZbWKwL</v>
      </c>
      <c r="F33" s="1" t="str">
        <f ca="1">IFERROR(__xludf.DUMMYFUNCTION("""COMPUTED_VALUE"""),"midoriya_157")</f>
        <v>midoriya_157</v>
      </c>
      <c r="G33" s="12" t="str">
        <f ca="1">IFERROR(__xludf.DUMMYFUNCTION("""COMPUTED_VALUE"""),"https://x.com/medoria565771?t=PDctazARFsJnwwgAPH4KBw&amp;s=08")</f>
        <v>https://x.com/medoria565771?t=PDctazARFsJnwwgAPH4KBw&amp;s=08</v>
      </c>
      <c r="H33" s="12" t="str">
        <f ca="1">IFERROR(__xludf.DUMMYFUNCTION("""COMPUTED_VALUE"""),"https://www.linkedin.com/in/rahma-alimoo-0842012b7?utm_source=share&amp;utm_campaign=share_via&amp;utm_content=profile&amp;utm_medium=android_app")</f>
        <v>https://www.linkedin.com/in/rahma-alimoo-0842012b7?utm_source=share&amp;utm_campaign=share_via&amp;utm_content=profile&amp;utm_medium=android_app</v>
      </c>
      <c r="I33" s="1"/>
      <c r="J33" s="1"/>
      <c r="K33" s="1" t="str">
        <f ca="1">IFERROR(__xludf.DUMMYFUNCTION("""COMPUTED_VALUE"""),"Mansoura University")</f>
        <v>Mansoura University</v>
      </c>
      <c r="L33" s="1"/>
      <c r="M33" s="1" t="str">
        <f ca="1">IFERROR(__xludf.DUMMYFUNCTION("""COMPUTED_VALUE"""),"Faculty of Computer &amp; Information Science")</f>
        <v>Faculty of Computer &amp; Information Science</v>
      </c>
      <c r="N33" s="1"/>
      <c r="O33" s="1" t="str">
        <f ca="1">IFERROR(__xludf.DUMMYFUNCTION("""COMPUTED_VALUE"""),"2nd Year")</f>
        <v>2nd Year</v>
      </c>
      <c r="R33" s="1" t="s">
        <v>198</v>
      </c>
      <c r="S33" s="1" t="s">
        <v>173</v>
      </c>
    </row>
    <row r="34" spans="1:19">
      <c r="A34" s="1" t="str">
        <f ca="1">IFERROR(__xludf.DUMMYFUNCTION("""COMPUTED_VALUE"""),"منه جمال محمد شوقى")</f>
        <v>منه جمال محمد شوقى</v>
      </c>
      <c r="B34" s="1" t="str">
        <f ca="1">IFERROR(__xludf.DUMMYFUNCTION("""COMPUTED_VALUE"""),"mnhj8364@gamil.com")</f>
        <v>mnhj8364@gamil.com</v>
      </c>
      <c r="C34" s="1">
        <f ca="1">IFERROR(__xludf.DUMMYFUNCTION("""COMPUTED_VALUE"""),201080730181)</f>
        <v>201080730181</v>
      </c>
      <c r="D34" s="1" t="str">
        <f ca="1">IFERROR(__xludf.DUMMYFUNCTION("""COMPUTED_VALUE"""),"المنصورة")</f>
        <v>المنصورة</v>
      </c>
      <c r="E34" s="12" t="str">
        <f ca="1">IFERROR(__xludf.DUMMYFUNCTION("""COMPUTED_VALUE"""),"https://www.facebook.com/mena.gamal.927543?mibextid=ZbWKwL")</f>
        <v>https://www.facebook.com/mena.gamal.927543?mibextid=ZbWKwL</v>
      </c>
      <c r="F34" s="1" t="str">
        <f ca="1">IFERROR(__xludf.DUMMYFUNCTION("""COMPUTED_VALUE"""),"mennagamal2006")</f>
        <v>mennagamal2006</v>
      </c>
      <c r="G34" s="1"/>
      <c r="H34" s="12" t="str">
        <f ca="1">IFERROR(__xludf.DUMMYFUNCTION("""COMPUTED_VALUE"""),"https://www.linkedin.com/in/menna-gamal-9856bb293?utm_source=share&amp;utm_campaign=share_via&amp;utm_content=profile&amp;utm_medium=android_app")</f>
        <v>https://www.linkedin.com/in/menna-gamal-9856bb293?utm_source=share&amp;utm_campaign=share_via&amp;utm_content=profile&amp;utm_medium=android_app</v>
      </c>
      <c r="I34" s="1"/>
      <c r="J34" s="1"/>
      <c r="K34" s="1" t="str">
        <f ca="1">IFERROR(__xludf.DUMMYFUNCTION("""COMPUTED_VALUE"""),"Mansoura University")</f>
        <v>Mansoura University</v>
      </c>
      <c r="L34" s="1"/>
      <c r="M34" s="1" t="str">
        <f ca="1">IFERROR(__xludf.DUMMYFUNCTION("""COMPUTED_VALUE"""),"Faculty of Computer &amp; Information Science")</f>
        <v>Faculty of Computer &amp; Information Science</v>
      </c>
      <c r="N34" s="1"/>
      <c r="O34" s="1" t="str">
        <f ca="1">IFERROR(__xludf.DUMMYFUNCTION("""COMPUTED_VALUE"""),"2nd Year")</f>
        <v>2nd Year</v>
      </c>
      <c r="R34" s="1" t="s">
        <v>199</v>
      </c>
      <c r="S34" s="1" t="s">
        <v>173</v>
      </c>
    </row>
    <row r="35" spans="1:19">
      <c r="A35" s="1" t="str">
        <f ca="1">IFERROR(__xludf.DUMMYFUNCTION("""COMPUTED_VALUE"""),"Khadija khaled shahien")</f>
        <v>Khadija khaled shahien</v>
      </c>
      <c r="B35" s="1" t="str">
        <f ca="1">IFERROR(__xludf.DUMMYFUNCTION("""COMPUTED_VALUE"""),"khadijashahien@gmail.com")</f>
        <v>khadijashahien@gmail.com</v>
      </c>
      <c r="C35" s="1">
        <f ca="1">IFERROR(__xludf.DUMMYFUNCTION("""COMPUTED_VALUE"""),201212843668)</f>
        <v>201212843668</v>
      </c>
      <c r="D35" s="1" t="str">
        <f ca="1">IFERROR(__xludf.DUMMYFUNCTION("""COMPUTED_VALUE"""),"طريق المحله طنطا")</f>
        <v>طريق المحله طنطا</v>
      </c>
      <c r="E35" s="12" t="str">
        <f ca="1">IFERROR(__xludf.DUMMYFUNCTION("""COMPUTED_VALUE"""),"https://www.facebook.com/profile.php?id=100073407006447&amp;mibextid=kFxxJD")</f>
        <v>https://www.facebook.com/profile.php?id=100073407006447&amp;mibextid=kFxxJD</v>
      </c>
      <c r="F35" s="1" t="str">
        <f ca="1">IFERROR(__xludf.DUMMYFUNCTION("""COMPUTED_VALUE"""),"dove07355")</f>
        <v>dove07355</v>
      </c>
      <c r="G35" s="1"/>
      <c r="H35" s="12" t="str">
        <f ca="1">IFERROR(__xludf.DUMMYFUNCTION("""COMPUTED_VALUE"""),"https://www.linkedin.com/in/khadija-shahien-997581325?utm_source=share&amp;utm_campaign=share_via&amp;utm_content=profile&amp;utm_medium=android_app")</f>
        <v>https://www.linkedin.com/in/khadija-shahien-997581325?utm_source=share&amp;utm_campaign=share_via&amp;utm_content=profile&amp;utm_medium=android_app</v>
      </c>
      <c r="I35" s="12" t="str">
        <f ca="1">IFERROR(__xludf.DUMMYFUNCTION("""COMPUTED_VALUE"""),"https://github.com/dija404")</f>
        <v>https://github.com/dija404</v>
      </c>
      <c r="J35" s="1"/>
      <c r="K35" s="1" t="str">
        <f ca="1">IFERROR(__xludf.DUMMYFUNCTION("""COMPUTED_VALUE"""),"Mansoura University")</f>
        <v>Mansoura University</v>
      </c>
      <c r="L35" s="1"/>
      <c r="M35" s="1" t="str">
        <f ca="1">IFERROR(__xludf.DUMMYFUNCTION("""COMPUTED_VALUE"""),"Faculty of Computer &amp; Information Science")</f>
        <v>Faculty of Computer &amp; Information Science</v>
      </c>
      <c r="N35" s="1"/>
      <c r="O35" s="1" t="str">
        <f ca="1">IFERROR(__xludf.DUMMYFUNCTION("""COMPUTED_VALUE"""),"2nd Year")</f>
        <v>2nd Year</v>
      </c>
      <c r="R35" s="1" t="s">
        <v>43</v>
      </c>
      <c r="S35" s="1" t="s">
        <v>173</v>
      </c>
    </row>
    <row r="36" spans="1:19">
      <c r="A36" s="1" t="str">
        <f ca="1">IFERROR(__xludf.DUMMYFUNCTION("""COMPUTED_VALUE"""),"Omnia hossam ")</f>
        <v xml:space="preserve">Omnia hossam </v>
      </c>
      <c r="B36" s="1" t="str">
        <f ca="1">IFERROR(__xludf.DUMMYFUNCTION("""COMPUTED_VALUE"""),"omniahossam528@gmail.com")</f>
        <v>omniahossam528@gmail.com</v>
      </c>
      <c r="C36" s="1">
        <f ca="1">IFERROR(__xludf.DUMMYFUNCTION("""COMPUTED_VALUE"""),201228575063)</f>
        <v>201228575063</v>
      </c>
      <c r="D36" s="1" t="str">
        <f ca="1">IFERROR(__xludf.DUMMYFUNCTION("""COMPUTED_VALUE"""),"El mahalla elkobra")</f>
        <v>El mahalla elkobra</v>
      </c>
      <c r="E36" s="12" t="str">
        <f ca="1">IFERROR(__xludf.DUMMYFUNCTION("""COMPUTED_VALUE"""),"https://www.facebook.com/share/19X7SUwkQ8/")</f>
        <v>https://www.facebook.com/share/19X7SUwkQ8/</v>
      </c>
      <c r="F36" s="1" t="str">
        <f ca="1">IFERROR(__xludf.DUMMYFUNCTION("""COMPUTED_VALUE"""),"nothing")</f>
        <v>nothing</v>
      </c>
      <c r="G36" s="1"/>
      <c r="H36" s="1"/>
      <c r="I36" s="1"/>
      <c r="J36" s="1"/>
      <c r="K36" s="1" t="str">
        <f ca="1">IFERROR(__xludf.DUMMYFUNCTION("""COMPUTED_VALUE"""),"Mansoura University")</f>
        <v>Mansoura University</v>
      </c>
      <c r="L36" s="1"/>
      <c r="M36" s="1" t="str">
        <f ca="1">IFERROR(__xludf.DUMMYFUNCTION("""COMPUTED_VALUE"""),"Faculty of Computer &amp; Information Science")</f>
        <v>Faculty of Computer &amp; Information Science</v>
      </c>
      <c r="N36" s="1"/>
      <c r="O36" s="1" t="str">
        <f ca="1">IFERROR(__xludf.DUMMYFUNCTION("""COMPUTED_VALUE"""),"1st Year")</f>
        <v>1st Year</v>
      </c>
      <c r="R36" s="1" t="s">
        <v>200</v>
      </c>
      <c r="S36" s="1" t="s">
        <v>176</v>
      </c>
    </row>
    <row r="37" spans="1:19">
      <c r="A37" s="1" t="str">
        <f ca="1">IFERROR(__xludf.DUMMYFUNCTION("""COMPUTED_VALUE"""),"Rewan Mostafa Megahed ")</f>
        <v xml:space="preserve">Rewan Mostafa Megahed </v>
      </c>
      <c r="B37" s="1" t="str">
        <f ca="1">IFERROR(__xludf.DUMMYFUNCTION("""COMPUTED_VALUE"""),"rodlv300@gmail.com")</f>
        <v>rodlv300@gmail.com</v>
      </c>
      <c r="C37" s="1">
        <f ca="1">IFERROR(__xludf.DUMMYFUNCTION("""COMPUTED_VALUE"""),201220909397)</f>
        <v>201220909397</v>
      </c>
      <c r="D37" s="1" t="str">
        <f ca="1">IFERROR(__xludf.DUMMYFUNCTION("""COMPUTED_VALUE"""),"Talkha")</f>
        <v>Talkha</v>
      </c>
      <c r="E37" s="12" t="str">
        <f ca="1">IFERROR(__xludf.DUMMYFUNCTION("""COMPUTED_VALUE"""),"https://www.facebook.com/profile.php?id=100063549968094&amp;mibextid=ZbWKwL")</f>
        <v>https://www.facebook.com/profile.php?id=100063549968094&amp;mibextid=ZbWKwL</v>
      </c>
      <c r="F37" s="1" t="str">
        <f ca="1">IFERROR(__xludf.DUMMYFUNCTION("""COMPUTED_VALUE"""),".")</f>
        <v>.</v>
      </c>
      <c r="G37" s="1"/>
      <c r="H37" s="12" t="str">
        <f ca="1">IFERROR(__xludf.DUMMYFUNCTION("""COMPUTED_VALUE"""),"https://www.linkedin.com/in/rewan-mostafa-39b125267?utm_source=share&amp;utm_campaign=share_via&amp;utm_content=profile&amp;utm_medium=android_app")</f>
        <v>https://www.linkedin.com/in/rewan-mostafa-39b125267?utm_source=share&amp;utm_campaign=share_via&amp;utm_content=profile&amp;utm_medium=android_app</v>
      </c>
      <c r="I37" s="1"/>
      <c r="J37" s="1"/>
      <c r="K37" s="1" t="str">
        <f ca="1">IFERROR(__xludf.DUMMYFUNCTION("""COMPUTED_VALUE"""),"Mansoura University")</f>
        <v>Mansoura University</v>
      </c>
      <c r="L37" s="1"/>
      <c r="M37" s="1" t="str">
        <f ca="1">IFERROR(__xludf.DUMMYFUNCTION("""COMPUTED_VALUE"""),"Faculty of Computer &amp; Information Science")</f>
        <v>Faculty of Computer &amp; Information Science</v>
      </c>
      <c r="N37" s="1"/>
      <c r="O37" s="1" t="str">
        <f ca="1">IFERROR(__xludf.DUMMYFUNCTION("""COMPUTED_VALUE"""),"3rd Year")</f>
        <v>3rd Year</v>
      </c>
      <c r="R37" s="1" t="s">
        <v>201</v>
      </c>
      <c r="S37" s="1" t="s">
        <v>170</v>
      </c>
    </row>
    <row r="38" spans="1:19">
      <c r="A38" s="1" t="str">
        <f ca="1">IFERROR(__xludf.DUMMYFUNCTION("""COMPUTED_VALUE"""),"Samah Samy Elsaied Ahmed ")</f>
        <v xml:space="preserve">Samah Samy Elsaied Ahmed </v>
      </c>
      <c r="B38" s="1" t="str">
        <f ca="1">IFERROR(__xludf.DUMMYFUNCTION("""COMPUTED_VALUE"""),"samahsamyelsaied2005@gmail.com")</f>
        <v>samahsamyelsaied2005@gmail.com</v>
      </c>
      <c r="C38" s="1">
        <f ca="1">IFERROR(__xludf.DUMMYFUNCTION("""COMPUTED_VALUE"""),201068649260)</f>
        <v>201068649260</v>
      </c>
      <c r="D38" s="1" t="str">
        <f ca="1">IFERROR(__xludf.DUMMYFUNCTION("""COMPUTED_VALUE"""),"مركز السنبلاوين محافظة الدقهلية ")</f>
        <v xml:space="preserve">مركز السنبلاوين محافظة الدقهلية </v>
      </c>
      <c r="E38" s="12" t="str">
        <f ca="1">IFERROR(__xludf.DUMMYFUNCTION("""COMPUTED_VALUE"""),"https://www.facebook.com/samah.samy.961556")</f>
        <v>https://www.facebook.com/samah.samy.961556</v>
      </c>
      <c r="F38" s="1" t="str">
        <f ca="1">IFERROR(__xludf.DUMMYFUNCTION("""COMPUTED_VALUE"""),"Samah Samy")</f>
        <v>Samah Samy</v>
      </c>
      <c r="G38" s="1"/>
      <c r="H38" s="1"/>
      <c r="I38" s="1"/>
      <c r="J38" s="1"/>
      <c r="K38" s="1" t="str">
        <f ca="1">IFERROR(__xludf.DUMMYFUNCTION("""COMPUTED_VALUE"""),"Mansoura University")</f>
        <v>Mansoura University</v>
      </c>
      <c r="L38" s="1"/>
      <c r="M38" s="1" t="str">
        <f ca="1">IFERROR(__xludf.DUMMYFUNCTION("""COMPUTED_VALUE"""),"Faculty of Computer &amp; Information Science")</f>
        <v>Faculty of Computer &amp; Information Science</v>
      </c>
      <c r="N38" s="1"/>
      <c r="O38" s="1" t="str">
        <f ca="1">IFERROR(__xludf.DUMMYFUNCTION("""COMPUTED_VALUE"""),"2nd Year")</f>
        <v>2nd Year</v>
      </c>
      <c r="R38" s="1" t="s">
        <v>202</v>
      </c>
      <c r="S38" s="1" t="s">
        <v>173</v>
      </c>
    </row>
    <row r="39" spans="1:19">
      <c r="A39" s="1" t="str">
        <f ca="1">IFERROR(__xludf.DUMMYFUNCTION("""COMPUTED_VALUE"""),"Mohamed Fahmy ")</f>
        <v xml:space="preserve">Mohamed Fahmy </v>
      </c>
      <c r="B39" s="1" t="str">
        <f ca="1">IFERROR(__xludf.DUMMYFUNCTION("""COMPUTED_VALUE"""),"mohamedmahmoudfahmy714@gmail.com")</f>
        <v>mohamedmahmoudfahmy714@gmail.com</v>
      </c>
      <c r="C39" s="1">
        <f ca="1">IFERROR(__xludf.DUMMYFUNCTION("""COMPUTED_VALUE"""),201127737397)</f>
        <v>201127737397</v>
      </c>
      <c r="D39" s="1" t="str">
        <f ca="1">IFERROR(__xludf.DUMMYFUNCTION("""COMPUTED_VALUE"""),"Mansoura,Teraa st,Next To Mostashfa El Sadr ")</f>
        <v xml:space="preserve">Mansoura,Teraa st,Next To Mostashfa El Sadr </v>
      </c>
      <c r="E39" s="12" t="str">
        <f ca="1">IFERROR(__xludf.DUMMYFUNCTION("""COMPUTED_VALUE"""),"https://www.facebook.com/profile.php?id=100005030685692&amp;mibextid=ZbWKwL")</f>
        <v>https://www.facebook.com/profile.php?id=100005030685692&amp;mibextid=ZbWKwL</v>
      </c>
      <c r="F39" s="12" t="str">
        <f ca="1">IFERROR(__xludf.DUMMYFUNCTION("""COMPUTED_VALUE"""),"https://m.twitch.tv/m10fahmy/home")</f>
        <v>https://m.twitch.tv/m10fahmy/home</v>
      </c>
      <c r="G39" s="12" t="str">
        <f ca="1">IFERROR(__xludf.DUMMYFUNCTION("""COMPUTED_VALUE"""),"https://x.com/Mohamed45313034")</f>
        <v>https://x.com/Mohamed45313034</v>
      </c>
      <c r="H39" s="12" t="str">
        <f ca="1">IFERROR(__xludf.DUMMYFUNCTION("""COMPUTED_VALUE"""),"https://www.linkedin.com/in/mohamed-fahmy-784ba3331?utm_source=share&amp;utm_campaign=share_via&amp;utm_content=profile&amp;utm_medium=android_app")</f>
        <v>https://www.linkedin.com/in/mohamed-fahmy-784ba3331?utm_source=share&amp;utm_campaign=share_via&amp;utm_content=profile&amp;utm_medium=android_app</v>
      </c>
      <c r="I39" s="12" t="str">
        <f ca="1">IFERROR(__xludf.DUMMYFUNCTION("""COMPUTED_VALUE"""),"https://github.com/fahmyyyyy")</f>
        <v>https://github.com/fahmyyyyy</v>
      </c>
      <c r="J39" s="12" t="str">
        <f ca="1">IFERROR(__xludf.DUMMYFUNCTION("""COMPUTED_VALUE"""),"https://www.behance.net/mohamedfahmy78")</f>
        <v>https://www.behance.net/mohamedfahmy78</v>
      </c>
      <c r="K39" s="1" t="str">
        <f ca="1">IFERROR(__xludf.DUMMYFUNCTION("""COMPUTED_VALUE"""),"MET")</f>
        <v>MET</v>
      </c>
      <c r="L39" s="1"/>
      <c r="M39" s="1" t="str">
        <f ca="1">IFERROR(__xludf.DUMMYFUNCTION("""COMPUTED_VALUE"""),"Faculty of Computer &amp; Information Science")</f>
        <v>Faculty of Computer &amp; Information Science</v>
      </c>
      <c r="N39" s="1"/>
      <c r="O39" s="1" t="str">
        <f ca="1">IFERROR(__xludf.DUMMYFUNCTION("""COMPUTED_VALUE"""),"1st Year")</f>
        <v>1st Year</v>
      </c>
      <c r="R39" s="1" t="s">
        <v>203</v>
      </c>
      <c r="S39" s="1" t="s">
        <v>176</v>
      </c>
    </row>
    <row r="40" spans="1:19">
      <c r="A40" s="1" t="str">
        <f ca="1">IFERROR(__xludf.DUMMYFUNCTION("""COMPUTED_VALUE"""),"Malak Mahmoud Metwally MohammedElgizawy")</f>
        <v>Malak Mahmoud Metwally MohammedElgizawy</v>
      </c>
      <c r="B40" s="1" t="str">
        <f ca="1">IFERROR(__xludf.DUMMYFUNCTION("""COMPUTED_VALUE"""),"malakelgizawy@std.mans.edu.eg")</f>
        <v>malakelgizawy@std.mans.edu.eg</v>
      </c>
      <c r="C40" s="1">
        <f ca="1">IFERROR(__xludf.DUMMYFUNCTION("""COMPUTED_VALUE"""),201015449756)</f>
        <v>201015449756</v>
      </c>
      <c r="D40" s="1" t="str">
        <f ca="1">IFERROR(__xludf.DUMMYFUNCTION("""COMPUTED_VALUE"""),"Aga")</f>
        <v>Aga</v>
      </c>
      <c r="E40" s="12" t="str">
        <f ca="1">IFERROR(__xludf.DUMMYFUNCTION("""COMPUTED_VALUE"""),"https://www.facebook.com/malak.elgizawy.39?mibextid=ZbWKwL")</f>
        <v>https://www.facebook.com/malak.elgizawy.39?mibextid=ZbWKwL</v>
      </c>
      <c r="F40" s="12" t="str">
        <f ca="1">IFERROR(__xludf.DUMMYFUNCTION("""COMPUTED_VALUE"""),"https://discord.gg/yp8P9kFc")</f>
        <v>https://discord.gg/yp8P9kFc</v>
      </c>
      <c r="G40" s="12" t="str">
        <f ca="1">IFERROR(__xludf.DUMMYFUNCTION("""COMPUTED_VALUE"""),"https://www.facebook.com/malak.elgizawy.39?mibextid=ZbWKwL")</f>
        <v>https://www.facebook.com/malak.elgizawy.39?mibextid=ZbWKwL</v>
      </c>
      <c r="H40" s="12" t="str">
        <f ca="1">IFERROR(__xludf.DUMMYFUNCTION("""COMPUTED_VALUE"""),"https://www.linkedin.com/in/malak-elgizawy-356020329?utm_source=share&amp;utm_campaign=share_via&amp;utm_content=profile&amp;utm_medium=android_app")</f>
        <v>https://www.linkedin.com/in/malak-elgizawy-356020329?utm_source=share&amp;utm_campaign=share_via&amp;utm_content=profile&amp;utm_medium=android_app</v>
      </c>
      <c r="I40" s="1"/>
      <c r="J40" s="1"/>
      <c r="K40" s="1" t="str">
        <f ca="1">IFERROR(__xludf.DUMMYFUNCTION("""COMPUTED_VALUE"""),"Mansoura University")</f>
        <v>Mansoura University</v>
      </c>
      <c r="L40" s="1"/>
      <c r="M40" s="1" t="str">
        <f ca="1">IFERROR(__xludf.DUMMYFUNCTION("""COMPUTED_VALUE"""),"Faculty of Computer &amp; Information Science")</f>
        <v>Faculty of Computer &amp; Information Science</v>
      </c>
      <c r="N40" s="1"/>
      <c r="O40" s="1" t="str">
        <f ca="1">IFERROR(__xludf.DUMMYFUNCTION("""COMPUTED_VALUE"""),"2nd Year")</f>
        <v>2nd Year</v>
      </c>
      <c r="R40" s="1" t="s">
        <v>204</v>
      </c>
      <c r="S40" s="1" t="s">
        <v>173</v>
      </c>
    </row>
    <row r="41" spans="1:19">
      <c r="A41" s="1" t="str">
        <f ca="1">IFERROR(__xludf.DUMMYFUNCTION("""COMPUTED_VALUE"""),"yomna Aly Mohamed aly")</f>
        <v>yomna Aly Mohamed aly</v>
      </c>
      <c r="B41" s="1" t="str">
        <f ca="1">IFERROR(__xludf.DUMMYFUNCTION("""COMPUTED_VALUE"""),"yomnaaly806@gmail.com")</f>
        <v>yomnaaly806@gmail.com</v>
      </c>
      <c r="C41" s="1">
        <f ca="1">IFERROR(__xludf.DUMMYFUNCTION("""COMPUTED_VALUE"""),201015625611)</f>
        <v>201015625611</v>
      </c>
      <c r="D41" s="1" t="str">
        <f ca="1">IFERROR(__xludf.DUMMYFUNCTION("""COMPUTED_VALUE"""),"behbeet elhogarah")</f>
        <v>behbeet elhogarah</v>
      </c>
      <c r="E41" s="12" t="str">
        <f ca="1">IFERROR(__xludf.DUMMYFUNCTION("""COMPUTED_VALUE"""),"https://www.facebook.com/yomnaa.alyy.01?mibextid=ZbWKwL")</f>
        <v>https://www.facebook.com/yomnaa.alyy.01?mibextid=ZbWKwL</v>
      </c>
      <c r="F41" s="12" t="str">
        <f ca="1">IFERROR(__xludf.DUMMYFUNCTION("""COMPUTED_VALUE"""),"https://discord.gg/c6ye48aj")</f>
        <v>https://discord.gg/c6ye48aj</v>
      </c>
      <c r="G41" s="1"/>
      <c r="H41" s="12" t="str">
        <f ca="1">IFERROR(__xludf.DUMMYFUNCTION("""COMPUTED_VALUE"""),"https://www.linkedin.com/in/yomna-aly-4a36b3291?utm_source=share&amp;utm_campaign=share_via&amp;utm_content=profile&amp;utm_medium=android_app")</f>
        <v>https://www.linkedin.com/in/yomna-aly-4a36b3291?utm_source=share&amp;utm_campaign=share_via&amp;utm_content=profile&amp;utm_medium=android_app</v>
      </c>
      <c r="I41" s="1"/>
      <c r="J41" s="12" t="str">
        <f ca="1">IFERROR(__xludf.DUMMYFUNCTION("""COMPUTED_VALUE"""),"https://www.behance.net/yomnaaly80ff81")</f>
        <v>https://www.behance.net/yomnaaly80ff81</v>
      </c>
      <c r="K41" s="1" t="str">
        <f ca="1">IFERROR(__xludf.DUMMYFUNCTION("""COMPUTED_VALUE"""),"Mansoura University")</f>
        <v>Mansoura University</v>
      </c>
      <c r="L41" s="1"/>
      <c r="M41" s="1" t="str">
        <f ca="1">IFERROR(__xludf.DUMMYFUNCTION("""COMPUTED_VALUE"""),"Other")</f>
        <v>Other</v>
      </c>
      <c r="N41" s="1" t="str">
        <f ca="1">IFERROR(__xludf.DUMMYFUNCTION("""COMPUTED_VALUE"""),"agriculture ")</f>
        <v xml:space="preserve">agriculture </v>
      </c>
      <c r="O41" s="1" t="str">
        <f ca="1">IFERROR(__xludf.DUMMYFUNCTION("""COMPUTED_VALUE"""),"2nd Year")</f>
        <v>2nd Year</v>
      </c>
      <c r="R41" s="1" t="s">
        <v>205</v>
      </c>
      <c r="S41" s="1" t="s">
        <v>173</v>
      </c>
    </row>
    <row r="42" spans="1:19">
      <c r="A42" s="1" t="str">
        <f ca="1">IFERROR(__xludf.DUMMYFUNCTION("""COMPUTED_VALUE"""),"Mohamed elshazly ")</f>
        <v xml:space="preserve">Mohamed elshazly </v>
      </c>
      <c r="B42" s="1" t="str">
        <f ca="1">IFERROR(__xludf.DUMMYFUNCTION("""COMPUTED_VALUE"""),"mohamed01elshazly@gmail.com")</f>
        <v>mohamed01elshazly@gmail.com</v>
      </c>
      <c r="C42" s="1">
        <f ca="1">IFERROR(__xludf.DUMMYFUNCTION("""COMPUTED_VALUE"""),201123130167)</f>
        <v>201123130167</v>
      </c>
      <c r="D42" s="1" t="str">
        <f ca="1">IFERROR(__xludf.DUMMYFUNCTION("""COMPUTED_VALUE"""),"El mahalla elkobra ")</f>
        <v xml:space="preserve">El mahalla elkobra </v>
      </c>
      <c r="E42" s="12" t="str">
        <f ca="1">IFERROR(__xludf.DUMMYFUNCTION("""COMPUTED_VALUE"""),"https://www.facebook.com/share/19HzgxDv7A/")</f>
        <v>https://www.facebook.com/share/19HzgxDv7A/</v>
      </c>
      <c r="F42" s="1" t="str">
        <f ca="1">IFERROR(__xludf.DUMMYFUNCTION("""COMPUTED_VALUE"""),"No thing")</f>
        <v>No thing</v>
      </c>
      <c r="G42" s="1"/>
      <c r="H42" s="1"/>
      <c r="I42" s="1"/>
      <c r="J42" s="1"/>
      <c r="K42" s="1" t="str">
        <f ca="1">IFERROR(__xludf.DUMMYFUNCTION("""COMPUTED_VALUE"""),"Mansoura University")</f>
        <v>Mansoura University</v>
      </c>
      <c r="L42" s="1"/>
      <c r="M42" s="1" t="str">
        <f ca="1">IFERROR(__xludf.DUMMYFUNCTION("""COMPUTED_VALUE"""),"Faculty of Computer &amp; Information Science")</f>
        <v>Faculty of Computer &amp; Information Science</v>
      </c>
      <c r="N42" s="1"/>
      <c r="O42" s="1" t="str">
        <f ca="1">IFERROR(__xludf.DUMMYFUNCTION("""COMPUTED_VALUE"""),"1st Year")</f>
        <v>1st Year</v>
      </c>
      <c r="R42" s="1" t="s">
        <v>206</v>
      </c>
      <c r="S42" s="1" t="s">
        <v>176</v>
      </c>
    </row>
    <row r="43" spans="1:19">
      <c r="A43" s="1" t="str">
        <f ca="1">IFERROR(__xludf.DUMMYFUNCTION("""COMPUTED_VALUE"""),"Zyad Ashraf")</f>
        <v>Zyad Ashraf</v>
      </c>
      <c r="B43" s="1" t="str">
        <f ca="1">IFERROR(__xludf.DUMMYFUNCTION("""COMPUTED_VALUE"""),"zfire3005@gmail.com")</f>
        <v>zfire3005@gmail.com</v>
      </c>
      <c r="C43" s="1">
        <f ca="1">IFERROR(__xludf.DUMMYFUNCTION("""COMPUTED_VALUE"""),201005258954)</f>
        <v>201005258954</v>
      </c>
      <c r="D43" s="1" t="str">
        <f ca="1">IFERROR(__xludf.DUMMYFUNCTION("""COMPUTED_VALUE"""),"Egypt,Dakahlia,Sherbeen")</f>
        <v>Egypt,Dakahlia,Sherbeen</v>
      </c>
      <c r="E43" s="12" t="str">
        <f ca="1">IFERROR(__xludf.DUMMYFUNCTION("""COMPUTED_VALUE"""),"https://www.facebook.com/zyad.ashraf.14811")</f>
        <v>https://www.facebook.com/zyad.ashraf.14811</v>
      </c>
      <c r="F43" s="1" t="str">
        <f ca="1">IFERROR(__xludf.DUMMYFUNCTION("""COMPUTED_VALUE"""),"zyad0_0")</f>
        <v>zyad0_0</v>
      </c>
      <c r="G43" s="1"/>
      <c r="H43" s="12" t="str">
        <f ca="1">IFERROR(__xludf.DUMMYFUNCTION("""COMPUTED_VALUE"""),"https://www.linkedin.com/in/z-ash/")</f>
        <v>https://www.linkedin.com/in/z-ash/</v>
      </c>
      <c r="I43" s="12" t="str">
        <f ca="1">IFERROR(__xludf.DUMMYFUNCTION("""COMPUTED_VALUE"""),"https://github.com/Z-Ash0")</f>
        <v>https://github.com/Z-Ash0</v>
      </c>
      <c r="J43" s="1"/>
      <c r="K43" s="1" t="str">
        <f ca="1">IFERROR(__xludf.DUMMYFUNCTION("""COMPUTED_VALUE"""),"Mansoura University")</f>
        <v>Mansoura University</v>
      </c>
      <c r="L43" s="1"/>
      <c r="M43" s="1" t="str">
        <f ca="1">IFERROR(__xludf.DUMMYFUNCTION("""COMPUTED_VALUE"""),"Faculty of Computer &amp; Information Science")</f>
        <v>Faculty of Computer &amp; Information Science</v>
      </c>
      <c r="N43" s="1"/>
      <c r="O43" s="1" t="str">
        <f ca="1">IFERROR(__xludf.DUMMYFUNCTION("""COMPUTED_VALUE"""),"3rd Year")</f>
        <v>3rd Year</v>
      </c>
      <c r="R43" s="1" t="s">
        <v>207</v>
      </c>
      <c r="S43" s="1" t="s">
        <v>170</v>
      </c>
    </row>
    <row r="44" spans="1:19">
      <c r="A44" s="1" t="str">
        <f ca="1">IFERROR(__xludf.DUMMYFUNCTION("""COMPUTED_VALUE"""),"Yasmena Yasser")</f>
        <v>Yasmena Yasser</v>
      </c>
      <c r="B44" s="1" t="str">
        <f ca="1">IFERROR(__xludf.DUMMYFUNCTION("""COMPUTED_VALUE"""),"yasminyasser602@gmail.com")</f>
        <v>yasminyasser602@gmail.com</v>
      </c>
      <c r="C44" s="1">
        <f ca="1">IFERROR(__xludf.DUMMYFUNCTION("""COMPUTED_VALUE"""),201276154181)</f>
        <v>201276154181</v>
      </c>
      <c r="D44" s="1" t="str">
        <f ca="1">IFERROR(__xludf.DUMMYFUNCTION("""COMPUTED_VALUE"""),"Dekernes")</f>
        <v>Dekernes</v>
      </c>
      <c r="E44" s="12" t="str">
        <f ca="1">IFERROR(__xludf.DUMMYFUNCTION("""COMPUTED_VALUE"""),"https://www.facebook.com/profile.php?id=61554938321177&amp;mibextid=ZbWKwL")</f>
        <v>https://www.facebook.com/profile.php?id=61554938321177&amp;mibextid=ZbWKwL</v>
      </c>
      <c r="F44" s="1" t="str">
        <f ca="1">IFERROR(__xludf.DUMMYFUNCTION("""COMPUTED_VALUE"""),"yasmin_yasser#1234")</f>
        <v>yasmin_yasser#1234</v>
      </c>
      <c r="G44" s="1"/>
      <c r="H44" s="12" t="str">
        <f ca="1">IFERROR(__xludf.DUMMYFUNCTION("""COMPUTED_VALUE"""),"https://www.linkedin.com/in/yasmin-yaser-139885294?utm_source=share&amp;utm_campaign=share_via&amp;utm_content=profile&amp;utm_medium=android_app")</f>
        <v>https://www.linkedin.com/in/yasmin-yaser-139885294?utm_source=share&amp;utm_campaign=share_via&amp;utm_content=profile&amp;utm_medium=android_app</v>
      </c>
      <c r="I44" s="1"/>
      <c r="J44" s="1"/>
      <c r="K44" s="1" t="str">
        <f ca="1">IFERROR(__xludf.DUMMYFUNCTION("""COMPUTED_VALUE"""),"Mansoura University")</f>
        <v>Mansoura University</v>
      </c>
      <c r="L44" s="1"/>
      <c r="M44" s="1" t="str">
        <f ca="1">IFERROR(__xludf.DUMMYFUNCTION("""COMPUTED_VALUE"""),"Faculty of Computer &amp; Information Science")</f>
        <v>Faculty of Computer &amp; Information Science</v>
      </c>
      <c r="N44" s="1"/>
      <c r="O44" s="1" t="str">
        <f ca="1">IFERROR(__xludf.DUMMYFUNCTION("""COMPUTED_VALUE"""),"2nd Year")</f>
        <v>2nd Year</v>
      </c>
      <c r="R44" s="1" t="s">
        <v>208</v>
      </c>
      <c r="S44" s="1" t="s">
        <v>173</v>
      </c>
    </row>
    <row r="45" spans="1:19">
      <c r="A45" s="1" t="str">
        <f ca="1">IFERROR(__xludf.DUMMYFUNCTION("""COMPUTED_VALUE"""),"Eman Salah Melook ")</f>
        <v xml:space="preserve">Eman Salah Melook </v>
      </c>
      <c r="B45" s="1" t="str">
        <f ca="1">IFERROR(__xludf.DUMMYFUNCTION("""COMPUTED_VALUE"""),"emansm002@gmail.com")</f>
        <v>emansm002@gmail.com</v>
      </c>
      <c r="C45" s="1">
        <f ca="1">IFERROR(__xludf.DUMMYFUNCTION("""COMPUTED_VALUE"""),201228137351)</f>
        <v>201228137351</v>
      </c>
      <c r="D45" s="1" t="str">
        <f ca="1">IFERROR(__xludf.DUMMYFUNCTION("""COMPUTED_VALUE"""),"maasara /bilqas/dakahlia")</f>
        <v>maasara /bilqas/dakahlia</v>
      </c>
      <c r="E45" s="12" t="str">
        <f ca="1">IFERROR(__xludf.DUMMYFUNCTION("""COMPUTED_VALUE"""),"https://www.facebook.com/share/19kByATVTa/")</f>
        <v>https://www.facebook.com/share/19kByATVTa/</v>
      </c>
      <c r="F45" s="12" t="str">
        <f ca="1">IFERROR(__xludf.DUMMYFUNCTION("""COMPUTED_VALUE"""),"https://www.facebook.com/share/19kByATVTa/")</f>
        <v>https://www.facebook.com/share/19kByATVTa/</v>
      </c>
      <c r="G45" s="1"/>
      <c r="H45" s="1"/>
      <c r="I45" s="1"/>
      <c r="J45" s="1"/>
      <c r="K45" s="1" t="str">
        <f ca="1">IFERROR(__xludf.DUMMYFUNCTION("""COMPUTED_VALUE"""),"Mansoura University")</f>
        <v>Mansoura University</v>
      </c>
      <c r="L45" s="1"/>
      <c r="M45" s="1" t="str">
        <f ca="1">IFERROR(__xludf.DUMMYFUNCTION("""COMPUTED_VALUE"""),"Faculty of Computer &amp; Information Science")</f>
        <v>Faculty of Computer &amp; Information Science</v>
      </c>
      <c r="N45" s="1"/>
      <c r="O45" s="1" t="str">
        <f ca="1">IFERROR(__xludf.DUMMYFUNCTION("""COMPUTED_VALUE"""),"2nd Year")</f>
        <v>2nd Year</v>
      </c>
      <c r="R45" s="1" t="s">
        <v>209</v>
      </c>
      <c r="S45" s="1" t="s">
        <v>173</v>
      </c>
    </row>
    <row r="46" spans="1:19">
      <c r="A46" s="1" t="str">
        <f ca="1">IFERROR(__xludf.DUMMYFUNCTION("""COMPUTED_VALUE"""),"Fares Ghandour Mohamed ")</f>
        <v xml:space="preserve">Fares Ghandour Mohamed </v>
      </c>
      <c r="B46" s="1" t="str">
        <f ca="1">IFERROR(__xludf.DUMMYFUNCTION("""COMPUTED_VALUE"""),"faresghandour718@gmail.com")</f>
        <v>faresghandour718@gmail.com</v>
      </c>
      <c r="C46" s="1">
        <f ca="1">IFERROR(__xludf.DUMMYFUNCTION("""COMPUTED_VALUE"""),201018718361)</f>
        <v>201018718361</v>
      </c>
      <c r="D46" s="1" t="str">
        <f ca="1">IFERROR(__xludf.DUMMYFUNCTION("""COMPUTED_VALUE"""),"Mansoura")</f>
        <v>Mansoura</v>
      </c>
      <c r="E46" s="12" t="str">
        <f ca="1">IFERROR(__xludf.DUMMYFUNCTION("""COMPUTED_VALUE"""),"https://www.facebook.com/fares.ghandour.3?mibextid=LQQJ4d")</f>
        <v>https://www.facebook.com/fares.ghandour.3?mibextid=LQQJ4d</v>
      </c>
      <c r="F46" s="1" t="str">
        <f ca="1">IFERROR(__xludf.DUMMYFUNCTION("""COMPUTED_VALUE"""),"ghandou_7")</f>
        <v>ghandou_7</v>
      </c>
      <c r="G46" s="1"/>
      <c r="H46" s="12" t="str">
        <f ca="1">IFERROR(__xludf.DUMMYFUNCTION("""COMPUTED_VALUE"""),"https://www.linkedin.com/in/fares-ghandour-29039a25b?utm_source=share&amp;utm_campaign=share_via&amp;utm_content=profile&amp;utm_medium=ios_app")</f>
        <v>https://www.linkedin.com/in/fares-ghandour-29039a25b?utm_source=share&amp;utm_campaign=share_via&amp;utm_content=profile&amp;utm_medium=ios_app</v>
      </c>
      <c r="I46" s="12" t="str">
        <f ca="1">IFERROR(__xludf.DUMMYFUNCTION("""COMPUTED_VALUE"""),"https://github.com/Fares-7")</f>
        <v>https://github.com/Fares-7</v>
      </c>
      <c r="J46" s="1"/>
      <c r="K46" s="1" t="str">
        <f ca="1">IFERROR(__xludf.DUMMYFUNCTION("""COMPUTED_VALUE"""),"Mansoura University")</f>
        <v>Mansoura University</v>
      </c>
      <c r="L46" s="1"/>
      <c r="M46" s="1" t="str">
        <f ca="1">IFERROR(__xludf.DUMMYFUNCTION("""COMPUTED_VALUE"""),"Faculty of Computer &amp; Information Science")</f>
        <v>Faculty of Computer &amp; Information Science</v>
      </c>
      <c r="N46" s="1"/>
      <c r="O46" s="1" t="str">
        <f ca="1">IFERROR(__xludf.DUMMYFUNCTION("""COMPUTED_VALUE"""),"4th Year")</f>
        <v>4th Year</v>
      </c>
      <c r="R46" s="1" t="s">
        <v>10</v>
      </c>
      <c r="S46" s="1" t="s">
        <v>192</v>
      </c>
    </row>
    <row r="47" spans="1:19">
      <c r="A47" s="1" t="str">
        <f ca="1">IFERROR(__xludf.DUMMYFUNCTION("""COMPUTED_VALUE"""),"omar fathy")</f>
        <v>omar fathy</v>
      </c>
      <c r="B47" s="1" t="str">
        <f ca="1">IFERROR(__xludf.DUMMYFUNCTION("""COMPUTED_VALUE"""),"of94440@gmail.com")</f>
        <v>of94440@gmail.com</v>
      </c>
      <c r="C47" s="1">
        <f ca="1">IFERROR(__xludf.DUMMYFUNCTION("""COMPUTED_VALUE"""),201147512210)</f>
        <v>201147512210</v>
      </c>
      <c r="D47" s="1" t="str">
        <f ca="1">IFERROR(__xludf.DUMMYFUNCTION("""COMPUTED_VALUE"""),"mit salsil")</f>
        <v>mit salsil</v>
      </c>
      <c r="E47" s="12" t="str">
        <f ca="1">IFERROR(__xludf.DUMMYFUNCTION("""COMPUTED_VALUE"""),"https://www.facebook.com/Griezmaannn")</f>
        <v>https://www.facebook.com/Griezmaannn</v>
      </c>
      <c r="F47" s="1" t="str">
        <f ca="1">IFERROR(__xludf.DUMMYFUNCTION("""COMPUTED_VALUE"""),"omargriezmann")</f>
        <v>omargriezmann</v>
      </c>
      <c r="G47" s="1"/>
      <c r="H47" s="12" t="str">
        <f ca="1">IFERROR(__xludf.DUMMYFUNCTION("""COMPUTED_VALUE"""),"https://www.linkedin.com/in/omar-74737b308?utm_source=share&amp;utm_campaign=share_via&amp;utm_content=profile&amp;utm_medium=android_app")</f>
        <v>https://www.linkedin.com/in/omar-74737b308?utm_source=share&amp;utm_campaign=share_via&amp;utm_content=profile&amp;utm_medium=android_app</v>
      </c>
      <c r="I47" s="12" t="str">
        <f ca="1">IFERROR(__xludf.DUMMYFUNCTION("""COMPUTED_VALUE"""),"https://github.com/omarfathy7")</f>
        <v>https://github.com/omarfathy7</v>
      </c>
      <c r="J47" s="1"/>
      <c r="K47" s="1" t="str">
        <f ca="1">IFERROR(__xludf.DUMMYFUNCTION("""COMPUTED_VALUE"""),"Mansoura University")</f>
        <v>Mansoura University</v>
      </c>
      <c r="L47" s="1"/>
      <c r="M47" s="1" t="str">
        <f ca="1">IFERROR(__xludf.DUMMYFUNCTION("""COMPUTED_VALUE"""),"Faculty of Computer &amp; Information Science")</f>
        <v>Faculty of Computer &amp; Information Science</v>
      </c>
      <c r="N47" s="1"/>
      <c r="O47" s="1" t="str">
        <f ca="1">IFERROR(__xludf.DUMMYFUNCTION("""COMPUTED_VALUE"""),"2nd Year")</f>
        <v>2nd Year</v>
      </c>
      <c r="R47" s="1" t="s">
        <v>210</v>
      </c>
      <c r="S47" s="1" t="s">
        <v>173</v>
      </c>
    </row>
    <row r="48" spans="1:19">
      <c r="A48" s="1" t="str">
        <f ca="1">IFERROR(__xludf.DUMMYFUNCTION("""COMPUTED_VALUE"""),"Yomna shrif")</f>
        <v>Yomna shrif</v>
      </c>
      <c r="B48" s="1" t="str">
        <f ca="1">IFERROR(__xludf.DUMMYFUNCTION("""COMPUTED_VALUE"""),"yomnashrif@icloud.com")</f>
        <v>yomnashrif@icloud.com</v>
      </c>
      <c r="C48" s="1">
        <f ca="1">IFERROR(__xludf.DUMMYFUNCTION("""COMPUTED_VALUE"""),201111330412)</f>
        <v>201111330412</v>
      </c>
      <c r="D48" s="1" t="str">
        <f ca="1">IFERROR(__xludf.DUMMYFUNCTION("""COMPUTED_VALUE"""),"Mansoura ")</f>
        <v xml:space="preserve">Mansoura </v>
      </c>
      <c r="E48" s="12" t="str">
        <f ca="1">IFERROR(__xludf.DUMMYFUNCTION("""COMPUTED_VALUE"""),"https://www.facebook.com/profile.php?id=61553626693990&amp;mibextid=LQQJ4d")</f>
        <v>https://www.facebook.com/profile.php?id=61553626693990&amp;mibextid=LQQJ4d</v>
      </c>
      <c r="F48" s="1" t="str">
        <f ca="1">IFERROR(__xludf.DUMMYFUNCTION("""COMPUTED_VALUE"""),"nour_ahmed025")</f>
        <v>nour_ahmed025</v>
      </c>
      <c r="G48" s="1"/>
      <c r="H48" s="1"/>
      <c r="I48" s="1"/>
      <c r="J48" s="1"/>
      <c r="K48" s="1" t="str">
        <f ca="1">IFERROR(__xludf.DUMMYFUNCTION("""COMPUTED_VALUE"""),"Mansoura University")</f>
        <v>Mansoura University</v>
      </c>
      <c r="L48" s="1"/>
      <c r="M48" s="1" t="str">
        <f ca="1">IFERROR(__xludf.DUMMYFUNCTION("""COMPUTED_VALUE"""),"Faculty of Computer &amp; Information Science")</f>
        <v>Faculty of Computer &amp; Information Science</v>
      </c>
      <c r="N48" s="1"/>
      <c r="O48" s="1" t="str">
        <f ca="1">IFERROR(__xludf.DUMMYFUNCTION("""COMPUTED_VALUE"""),"3rd Year")</f>
        <v>3rd Year</v>
      </c>
      <c r="R48" s="1" t="s">
        <v>211</v>
      </c>
      <c r="S48" s="1" t="s">
        <v>170</v>
      </c>
    </row>
    <row r="49" spans="1:19">
      <c r="A49" s="1" t="str">
        <f ca="1">IFERROR(__xludf.DUMMYFUNCTION("""COMPUTED_VALUE"""),"احمد عماد الدين سعد ")</f>
        <v xml:space="preserve">احمد عماد الدين سعد </v>
      </c>
      <c r="B49" s="1" t="str">
        <f ca="1">IFERROR(__xludf.DUMMYFUNCTION("""COMPUTED_VALUE"""),"masterheaterheting@gmail.com")</f>
        <v>masterheaterheting@gmail.com</v>
      </c>
      <c r="C49" s="1">
        <f ca="1">IFERROR(__xludf.DUMMYFUNCTION("""COMPUTED_VALUE"""),201015049738)</f>
        <v>201015049738</v>
      </c>
      <c r="D49" s="1" t="str">
        <f ca="1">IFERROR(__xludf.DUMMYFUNCTION("""COMPUTED_VALUE"""),"المنصورة")</f>
        <v>المنصورة</v>
      </c>
      <c r="E49" s="12" t="str">
        <f ca="1">IFERROR(__xludf.DUMMYFUNCTION("""COMPUTED_VALUE"""),"https://www.facebook.com/profile.php?id=100025987223087")</f>
        <v>https://www.facebook.com/profile.php?id=100025987223087</v>
      </c>
      <c r="F49" s="1" t="str">
        <f ca="1">IFERROR(__xludf.DUMMYFUNCTION("""COMPUTED_VALUE"""),"ahmed_emad.eldin")</f>
        <v>ahmed_emad.eldin</v>
      </c>
      <c r="G49" s="1" t="str">
        <f ca="1">IFERROR(__xludf.DUMMYFUNCTION("""COMPUTED_VALUE"""),"I.don't.have.one")</f>
        <v>I.don't.have.one</v>
      </c>
      <c r="H49" s="12" t="str">
        <f ca="1">IFERROR(__xludf.DUMMYFUNCTION("""COMPUTED_VALUE"""),"https://www.linkedin.com/in/ahmed-emad-037202320?trk=contact-info")</f>
        <v>https://www.linkedin.com/in/ahmed-emad-037202320?trk=contact-info</v>
      </c>
      <c r="I49" s="12" t="str">
        <f ca="1">IFERROR(__xludf.DUMMYFUNCTION("""COMPUTED_VALUE"""),"https://github.com/Master-Heat")</f>
        <v>https://github.com/Master-Heat</v>
      </c>
      <c r="J49" s="1" t="str">
        <f ca="1">IFERROR(__xludf.DUMMYFUNCTION("""COMPUTED_VALUE"""),"I.don't.have.one")</f>
        <v>I.don't.have.one</v>
      </c>
      <c r="K49" s="1" t="str">
        <f ca="1">IFERROR(__xludf.DUMMYFUNCTION("""COMPUTED_VALUE"""),"Mansoura University")</f>
        <v>Mansoura University</v>
      </c>
      <c r="L49" s="1"/>
      <c r="M49" s="1" t="str">
        <f ca="1">IFERROR(__xludf.DUMMYFUNCTION("""COMPUTED_VALUE"""),"Faculty of Computer &amp; Information Science")</f>
        <v>Faculty of Computer &amp; Information Science</v>
      </c>
      <c r="N49" s="1"/>
      <c r="O49" s="1" t="str">
        <f ca="1">IFERROR(__xludf.DUMMYFUNCTION("""COMPUTED_VALUE"""),"2nd Year")</f>
        <v>2nd Year</v>
      </c>
      <c r="R49" s="1" t="s">
        <v>24</v>
      </c>
      <c r="S49" s="1" t="s">
        <v>173</v>
      </c>
    </row>
    <row r="50" spans="1:19">
      <c r="A50" s="1" t="str">
        <f ca="1">IFERROR(__xludf.DUMMYFUNCTION("""COMPUTED_VALUE"""),"Mohammed Mohammed Elshabrawy ")</f>
        <v xml:space="preserve">Mohammed Mohammed Elshabrawy </v>
      </c>
      <c r="B50" s="1" t="str">
        <f ca="1">IFERROR(__xludf.DUMMYFUNCTION("""COMPUTED_VALUE"""),"m7med.elshabrawy@gmail.com")</f>
        <v>m7med.elshabrawy@gmail.com</v>
      </c>
      <c r="C50" s="1">
        <f ca="1">IFERROR(__xludf.DUMMYFUNCTION("""COMPUTED_VALUE"""),201022763280)</f>
        <v>201022763280</v>
      </c>
      <c r="D50" s="1" t="str">
        <f ca="1">IFERROR(__xludf.DUMMYFUNCTION("""COMPUTED_VALUE"""),"Mansoura -")</f>
        <v>Mansoura -</v>
      </c>
      <c r="E50" s="12" t="str">
        <f ca="1">IFERROR(__xludf.DUMMYFUNCTION("""COMPUTED_VALUE"""),"https://www.facebook.com/m.m.elshabrawy")</f>
        <v>https://www.facebook.com/m.m.elshabrawy</v>
      </c>
      <c r="F50" s="1" t="str">
        <f ca="1">IFERROR(__xludf.DUMMYFUNCTION("""COMPUTED_VALUE"""),"m.m.elshabrawy")</f>
        <v>m.m.elshabrawy</v>
      </c>
      <c r="G50" s="12" t="str">
        <f ca="1">IFERROR(__xludf.DUMMYFUNCTION("""COMPUTED_VALUE"""),"not.com")</f>
        <v>not.com</v>
      </c>
      <c r="H50" s="12" t="str">
        <f ca="1">IFERROR(__xludf.DUMMYFUNCTION("""COMPUTED_VALUE"""),"https://www.linkedin.com/in/m7med-elshabrawy-9869482b6?utm_source=share&amp;utm_campaign=share_via&amp;utm_content=profile&amp;utm_medium=ios_app")</f>
        <v>https://www.linkedin.com/in/m7med-elshabrawy-9869482b6?utm_source=share&amp;utm_campaign=share_via&amp;utm_content=profile&amp;utm_medium=ios_app</v>
      </c>
      <c r="I50" s="1"/>
      <c r="J50" s="1"/>
      <c r="K50" s="1" t="str">
        <f ca="1">IFERROR(__xludf.DUMMYFUNCTION("""COMPUTED_VALUE"""),"Mansoura University")</f>
        <v>Mansoura University</v>
      </c>
      <c r="L50" s="1"/>
      <c r="M50" s="1" t="str">
        <f ca="1">IFERROR(__xludf.DUMMYFUNCTION("""COMPUTED_VALUE"""),"Faculty of Computer &amp; Information Science")</f>
        <v>Faculty of Computer &amp; Information Science</v>
      </c>
      <c r="N50" s="1"/>
      <c r="O50" s="1" t="str">
        <f ca="1">IFERROR(__xludf.DUMMYFUNCTION("""COMPUTED_VALUE"""),"3rd Year")</f>
        <v>3rd Year</v>
      </c>
      <c r="R50" s="1" t="s">
        <v>9</v>
      </c>
      <c r="S50" s="1" t="s">
        <v>170</v>
      </c>
    </row>
    <row r="51" spans="1:19">
      <c r="A51" s="1" t="str">
        <f ca="1">IFERROR(__xludf.DUMMYFUNCTION("""COMPUTED_VALUE"""),"Rewan Mostafa Megahed ")</f>
        <v xml:space="preserve">Rewan Mostafa Megahed </v>
      </c>
      <c r="B51" s="1" t="str">
        <f ca="1">IFERROR(__xludf.DUMMYFUNCTION("""COMPUTED_VALUE"""),"rom032267@gmail.com")</f>
        <v>rom032267@gmail.com</v>
      </c>
      <c r="C51" s="1">
        <f ca="1">IFERROR(__xludf.DUMMYFUNCTION("""COMPUTED_VALUE"""),201220909397)</f>
        <v>201220909397</v>
      </c>
      <c r="D51" s="1" t="str">
        <f ca="1">IFERROR(__xludf.DUMMYFUNCTION("""COMPUTED_VALUE"""),"talkha")</f>
        <v>talkha</v>
      </c>
      <c r="E51" s="12" t="str">
        <f ca="1">IFERROR(__xludf.DUMMYFUNCTION("""COMPUTED_VALUE"""),"https://www.facebook.com/profile.php?id=100063549968094&amp;mibextid=ZbWKwL")</f>
        <v>https://www.facebook.com/profile.php?id=100063549968094&amp;mibextid=ZbWKwL</v>
      </c>
      <c r="F51" s="1" t="str">
        <f ca="1">IFERROR(__xludf.DUMMYFUNCTION("""COMPUTED_VALUE"""),"rodlv.")</f>
        <v>rodlv.</v>
      </c>
      <c r="G51" s="1"/>
      <c r="H51" s="12" t="str">
        <f ca="1">IFERROR(__xludf.DUMMYFUNCTION("""COMPUTED_VALUE"""),"https://www.linkedin.com/in/rewan-mostafa-39b125267?utm_source=share&amp;utm_campaign=share_via&amp;utm_content=profile&amp;utm_medium=android_app")</f>
        <v>https://www.linkedin.com/in/rewan-mostafa-39b125267?utm_source=share&amp;utm_campaign=share_via&amp;utm_content=profile&amp;utm_medium=android_app</v>
      </c>
      <c r="I51" s="1"/>
      <c r="J51" s="1"/>
      <c r="K51" s="1" t="str">
        <f ca="1">IFERROR(__xludf.DUMMYFUNCTION("""COMPUTED_VALUE"""),"Mansoura University")</f>
        <v>Mansoura University</v>
      </c>
      <c r="L51" s="1"/>
      <c r="M51" s="1" t="str">
        <f ca="1">IFERROR(__xludf.DUMMYFUNCTION("""COMPUTED_VALUE"""),"Faculty of Computer &amp; Information Science")</f>
        <v>Faculty of Computer &amp; Information Science</v>
      </c>
      <c r="N51" s="1"/>
      <c r="O51" s="1" t="str">
        <f ca="1">IFERROR(__xludf.DUMMYFUNCTION("""COMPUTED_VALUE"""),"3rd Year")</f>
        <v>3rd Year</v>
      </c>
      <c r="R51" s="1" t="s">
        <v>212</v>
      </c>
      <c r="S51" s="1" t="s">
        <v>170</v>
      </c>
    </row>
    <row r="52" spans="1:19">
      <c r="A52" s="1" t="str">
        <f ca="1">IFERROR(__xludf.DUMMYFUNCTION("""COMPUTED_VALUE"""),"محمود احمد يحيي محمد")</f>
        <v>محمود احمد يحيي محمد</v>
      </c>
      <c r="B52" s="1" t="str">
        <f ca="1">IFERROR(__xludf.DUMMYFUNCTION("""COMPUTED_VALUE"""),"n.k.t.g049@gmail.com")</f>
        <v>n.k.t.g049@gmail.com</v>
      </c>
      <c r="C52" s="1">
        <f ca="1">IFERROR(__xludf.DUMMYFUNCTION("""COMPUTED_VALUE"""),201211366837)</f>
        <v>201211366837</v>
      </c>
      <c r="D52" s="1" t="str">
        <f ca="1">IFERROR(__xludf.DUMMYFUNCTION("""COMPUTED_VALUE"""),"الغربيه - المحله الكبري")</f>
        <v>الغربيه - المحله الكبري</v>
      </c>
      <c r="E52" s="12" t="str">
        <f ca="1">IFERROR(__xludf.DUMMYFUNCTION("""COMPUTED_VALUE"""),"https://www.facebook.com/profile.php?id=100073347042961&amp;mibextid=ZbWKwL")</f>
        <v>https://www.facebook.com/profile.php?id=100073347042961&amp;mibextid=ZbWKwL</v>
      </c>
      <c r="F52" s="1" t="str">
        <f ca="1">IFERROR(__xludf.DUMMYFUNCTION("""COMPUTED_VALUE"""),"harpy049")</f>
        <v>harpy049</v>
      </c>
      <c r="G52" s="1"/>
      <c r="H52" s="12" t="str">
        <f ca="1">IFERROR(__xludf.DUMMYFUNCTION("""COMPUTED_VALUE"""),"https://www.linkedin.com/in/mahmoud-yahia-7a5514293/")</f>
        <v>https://www.linkedin.com/in/mahmoud-yahia-7a5514293/</v>
      </c>
      <c r="I52" s="12" t="str">
        <f ca="1">IFERROR(__xludf.DUMMYFUNCTION("""COMPUTED_VALUE"""),"https://github.com/tahayahia")</f>
        <v>https://github.com/tahayahia</v>
      </c>
      <c r="J52" s="1"/>
      <c r="K52" s="1" t="str">
        <f ca="1">IFERROR(__xludf.DUMMYFUNCTION("""COMPUTED_VALUE"""),"Tanta University")</f>
        <v>Tanta University</v>
      </c>
      <c r="L52" s="1"/>
      <c r="M52" s="1" t="str">
        <f ca="1">IFERROR(__xludf.DUMMYFUNCTION("""COMPUTED_VALUE"""),"Faculty of Computer &amp; Information Science")</f>
        <v>Faculty of Computer &amp; Information Science</v>
      </c>
      <c r="N52" s="1"/>
      <c r="O52" s="1" t="str">
        <f ca="1">IFERROR(__xludf.DUMMYFUNCTION("""COMPUTED_VALUE"""),"2nd Year")</f>
        <v>2nd Year</v>
      </c>
      <c r="R52" s="1" t="s">
        <v>213</v>
      </c>
      <c r="S52" s="1" t="s">
        <v>173</v>
      </c>
    </row>
    <row r="53" spans="1:19">
      <c r="A53" s="1" t="str">
        <f ca="1">IFERROR(__xludf.DUMMYFUNCTION("""COMPUTED_VALUE"""),"doha mouhammed reda")</f>
        <v>doha mouhammed reda</v>
      </c>
      <c r="B53" s="1" t="str">
        <f ca="1">IFERROR(__xludf.DUMMYFUNCTION("""COMPUTED_VALUE"""),"dohamouhammed9@gmail.com")</f>
        <v>dohamouhammed9@gmail.com</v>
      </c>
      <c r="C53" s="1">
        <f ca="1">IFERROR(__xludf.DUMMYFUNCTION("""COMPUTED_VALUE"""),201070049983)</f>
        <v>201070049983</v>
      </c>
      <c r="D53" s="1" t="str">
        <f ca="1">IFERROR(__xludf.DUMMYFUNCTION("""COMPUTED_VALUE"""),"mansoura derasat")</f>
        <v>mansoura derasat</v>
      </c>
      <c r="E53" s="12" t="str">
        <f ca="1">IFERROR(__xludf.DUMMYFUNCTION("""COMPUTED_VALUE"""),"https://web.facebook.com/profile.php?id=100011779478503&amp;locale=ar_AR")</f>
        <v>https://web.facebook.com/profile.php?id=100011779478503&amp;locale=ar_AR</v>
      </c>
      <c r="F53" s="1" t="str">
        <f ca="1">IFERROR(__xludf.DUMMYFUNCTION("""COMPUTED_VALUE"""),"id/827961609640083477 ..... username/dohamohamed6922")</f>
        <v>id/827961609640083477 ..... username/dohamohamed6922</v>
      </c>
      <c r="G53" s="12" t="str">
        <f ca="1">IFERROR(__xludf.DUMMYFUNCTION("""COMPUTED_VALUE"""),"https://x.com/MouhammedD94174")</f>
        <v>https://x.com/MouhammedD94174</v>
      </c>
      <c r="H53" s="12" t="str">
        <f ca="1">IFERROR(__xludf.DUMMYFUNCTION("""COMPUTED_VALUE"""),"https://www.linkedin.com/in/doha-mohammed-a64a14305/")</f>
        <v>https://www.linkedin.com/in/doha-mohammed-a64a14305/</v>
      </c>
      <c r="I53" s="12" t="str">
        <f ca="1">IFERROR(__xludf.DUMMYFUNCTION("""COMPUTED_VALUE"""),"https://github.com/Dohamouhammed")</f>
        <v>https://github.com/Dohamouhammed</v>
      </c>
      <c r="J53" s="12" t="str">
        <f ca="1">IFERROR(__xludf.DUMMYFUNCTION("""COMPUTED_VALUE"""),"https://www.behance.net/dohamouhammed")</f>
        <v>https://www.behance.net/dohamouhammed</v>
      </c>
      <c r="K53" s="1" t="str">
        <f ca="1">IFERROR(__xludf.DUMMYFUNCTION("""COMPUTED_VALUE"""),"Mansoura University")</f>
        <v>Mansoura University</v>
      </c>
      <c r="L53" s="1"/>
      <c r="M53" s="1" t="str">
        <f ca="1">IFERROR(__xludf.DUMMYFUNCTION("""COMPUTED_VALUE"""),"Faculty of Computer &amp; Information Science")</f>
        <v>Faculty of Computer &amp; Information Science</v>
      </c>
      <c r="N53" s="1"/>
      <c r="O53" s="1" t="str">
        <f ca="1">IFERROR(__xludf.DUMMYFUNCTION("""COMPUTED_VALUE"""),"2nd Year")</f>
        <v>2nd Year</v>
      </c>
      <c r="R53" s="1" t="s">
        <v>214</v>
      </c>
      <c r="S53" s="1" t="s">
        <v>173</v>
      </c>
    </row>
    <row r="54" spans="1:19">
      <c r="A54" s="1" t="str">
        <f ca="1">IFERROR(__xludf.DUMMYFUNCTION("""COMPUTED_VALUE"""),"دعاء هاني الحسين ابراهيم شحاته ")</f>
        <v xml:space="preserve">دعاء هاني الحسين ابراهيم شحاته </v>
      </c>
      <c r="B54" s="1" t="str">
        <f ca="1">IFERROR(__xludf.DUMMYFUNCTION("""COMPUTED_VALUE"""),"hanidoaa533@gmail.com")</f>
        <v>hanidoaa533@gmail.com</v>
      </c>
      <c r="C54" s="1">
        <f ca="1">IFERROR(__xludf.DUMMYFUNCTION("""COMPUTED_VALUE"""),201050046035)</f>
        <v>201050046035</v>
      </c>
      <c r="D54" s="1" t="str">
        <f ca="1">IFERROR(__xludf.DUMMYFUNCTION("""COMPUTED_VALUE"""),"المنصوره الدقهليه ")</f>
        <v xml:space="preserve">المنصوره الدقهليه </v>
      </c>
      <c r="E54" s="12" t="str">
        <f ca="1">IFERROR(__xludf.DUMMYFUNCTION("""COMPUTED_VALUE"""),"https://www.facebook.com/profile.php?id=100094600424082&amp;mibextid=ZbWKwL")</f>
        <v>https://www.facebook.com/profile.php?id=100094600424082&amp;mibextid=ZbWKwL</v>
      </c>
      <c r="F54" s="12" t="str">
        <f ca="1">IFERROR(__xludf.DUMMYFUNCTION("""COMPUTED_VALUE"""),"https://www.facebook.com/profile.php?id=100094600424082&amp;mibextid=ZbWKwL")</f>
        <v>https://www.facebook.com/profile.php?id=100094600424082&amp;mibextid=ZbWKwL</v>
      </c>
      <c r="G54" s="12" t="str">
        <f ca="1">IFERROR(__xludf.DUMMYFUNCTION("""COMPUTED_VALUE"""),"https://www.facebook.com/share/v/Z8bWjgzjm3iN4mXK/")</f>
        <v>https://www.facebook.com/share/v/Z8bWjgzjm3iN4mXK/</v>
      </c>
      <c r="H54" s="12" t="str">
        <f ca="1">IFERROR(__xludf.DUMMYFUNCTION("""COMPUTED_VALUE"""),"https://www.linkedin.com/in/doaa-elhussein-27746a318?utm_source=share&amp;utm_campaign=share_via&amp;utm_content=profile&amp;utm_medium=android_app")</f>
        <v>https://www.linkedin.com/in/doaa-elhussein-27746a318?utm_source=share&amp;utm_campaign=share_via&amp;utm_content=profile&amp;utm_medium=android_app</v>
      </c>
      <c r="I54" s="12" t="str">
        <f ca="1">IFERROR(__xludf.DUMMYFUNCTION("""COMPUTED_VALUE"""),"https://www.facebook.com/share/v/Z8bWjgzjm3iN4mXK/")</f>
        <v>https://www.facebook.com/share/v/Z8bWjgzjm3iN4mXK/</v>
      </c>
      <c r="J54" s="12" t="str">
        <f ca="1">IFERROR(__xludf.DUMMYFUNCTION("""COMPUTED_VALUE"""),"https://www.facebook.com/share/v/Z8bWjgzjm3iN4mXK/")</f>
        <v>https://www.facebook.com/share/v/Z8bWjgzjm3iN4mXK/</v>
      </c>
      <c r="K54" s="1" t="str">
        <f ca="1">IFERROR(__xludf.DUMMYFUNCTION("""COMPUTED_VALUE"""),"Mansoura University")</f>
        <v>Mansoura University</v>
      </c>
      <c r="L54" s="1"/>
      <c r="M54" s="1" t="str">
        <f ca="1">IFERROR(__xludf.DUMMYFUNCTION("""COMPUTED_VALUE"""),"Faculty of Computer &amp; Information Science")</f>
        <v>Faculty of Computer &amp; Information Science</v>
      </c>
      <c r="N54" s="1"/>
      <c r="O54" s="1" t="str">
        <f ca="1">IFERROR(__xludf.DUMMYFUNCTION("""COMPUTED_VALUE"""),"2nd Year")</f>
        <v>2nd Year</v>
      </c>
      <c r="R54" s="1" t="s">
        <v>215</v>
      </c>
      <c r="S54" s="1" t="s">
        <v>173</v>
      </c>
    </row>
    <row r="55" spans="1:19">
      <c r="A55" s="1" t="str">
        <f ca="1">IFERROR(__xludf.DUMMYFUNCTION("""COMPUTED_VALUE"""),"Mohamed Emad Mazy")</f>
        <v>Mohamed Emad Mazy</v>
      </c>
      <c r="B55" s="1" t="str">
        <f ca="1">IFERROR(__xludf.DUMMYFUNCTION("""COMPUTED_VALUE"""),"thunderstorm27782@gmail.com")</f>
        <v>thunderstorm27782@gmail.com</v>
      </c>
      <c r="C55" s="1">
        <f ca="1">IFERROR(__xludf.DUMMYFUNCTION("""COMPUTED_VALUE"""),201013947561)</f>
        <v>201013947561</v>
      </c>
      <c r="D55" s="1" t="str">
        <f ca="1">IFERROR(__xludf.DUMMYFUNCTION("""COMPUTED_VALUE"""),"Dakahlia / Dekernes")</f>
        <v>Dakahlia / Dekernes</v>
      </c>
      <c r="E55" s="12" t="str">
        <f ca="1">IFERROR(__xludf.DUMMYFUNCTION("""COMPUTED_VALUE"""),"https://www.facebook.com/profile.php?id=100089930238963")</f>
        <v>https://www.facebook.com/profile.php?id=100089930238963</v>
      </c>
      <c r="F55" s="1" t="str">
        <f ca="1">IFERROR(__xludf.DUMMYFUNCTION("""COMPUTED_VALUE"""),"vanilla4973")</f>
        <v>vanilla4973</v>
      </c>
      <c r="G55" s="1"/>
      <c r="H55" s="12" t="str">
        <f ca="1">IFERROR(__xludf.DUMMYFUNCTION("""COMPUTED_VALUE"""),"https://www.linkedin.com/in/mohamed-emad-6a0b07318/")</f>
        <v>https://www.linkedin.com/in/mohamed-emad-6a0b07318/</v>
      </c>
      <c r="I55" s="12" t="str">
        <f ca="1">IFERROR(__xludf.DUMMYFUNCTION("""COMPUTED_VALUE"""),"https://github.com/M-Emad1")</f>
        <v>https://github.com/M-Emad1</v>
      </c>
      <c r="J55" s="1"/>
      <c r="K55" s="1" t="str">
        <f ca="1">IFERROR(__xludf.DUMMYFUNCTION("""COMPUTED_VALUE"""),"Mansoura University")</f>
        <v>Mansoura University</v>
      </c>
      <c r="L55" s="1"/>
      <c r="M55" s="1" t="str">
        <f ca="1">IFERROR(__xludf.DUMMYFUNCTION("""COMPUTED_VALUE"""),"Faculty of Computer &amp; Information Science")</f>
        <v>Faculty of Computer &amp; Information Science</v>
      </c>
      <c r="N55" s="1"/>
      <c r="O55" s="1" t="str">
        <f ca="1">IFERROR(__xludf.DUMMYFUNCTION("""COMPUTED_VALUE"""),"2nd Year")</f>
        <v>2nd Year</v>
      </c>
      <c r="R55" s="1" t="s">
        <v>216</v>
      </c>
      <c r="S55" s="1" t="s">
        <v>173</v>
      </c>
    </row>
    <row r="56" spans="1:19">
      <c r="A56" s="1" t="str">
        <f ca="1">IFERROR(__xludf.DUMMYFUNCTION("""COMPUTED_VALUE"""),"Yasmin Mohamed Mohamed Ahmed Elmorsy ")</f>
        <v xml:space="preserve">Yasmin Mohamed Mohamed Ahmed Elmorsy </v>
      </c>
      <c r="B56" s="1" t="str">
        <f ca="1">IFERROR(__xludf.DUMMYFUNCTION("""COMPUTED_VALUE"""),"melmorsy171@gmail.com")</f>
        <v>melmorsy171@gmail.com</v>
      </c>
      <c r="C56" s="1">
        <f ca="1">IFERROR(__xludf.DUMMYFUNCTION("""COMPUTED_VALUE"""),201061789925)</f>
        <v>201061789925</v>
      </c>
      <c r="D56" s="1" t="str">
        <f ca="1">IFERROR(__xludf.DUMMYFUNCTION("""COMPUTED_VALUE"""),"مصر محافظة الدقهليه مركز منيه النصر مدينه الكردي ")</f>
        <v xml:space="preserve">مصر محافظة الدقهليه مركز منيه النصر مدينه الكردي </v>
      </c>
      <c r="E56" s="12" t="str">
        <f ca="1">IFERROR(__xludf.DUMMYFUNCTION("""COMPUTED_VALUE"""),"https://www.facebook.com/profile.php?id=100021765512941&amp;mibextid=ZbWKwL")</f>
        <v>https://www.facebook.com/profile.php?id=100021765512941&amp;mibextid=ZbWKwL</v>
      </c>
      <c r="F56" s="12" t="str">
        <f ca="1">IFERROR(__xludf.DUMMYFUNCTION("""COMPUTED_VALUE"""),"https://www.facebook.com/profile.php?id=100021765512941&amp;mibextid=ZbWKwL")</f>
        <v>https://www.facebook.com/profile.php?id=100021765512941&amp;mibextid=ZbWKwL</v>
      </c>
      <c r="G56" s="1"/>
      <c r="H56" s="12" t="str">
        <f ca="1">IFERROR(__xludf.DUMMYFUNCTION("""COMPUTED_VALUE"""),"https://www.linkedin.com/in/yasmen-mohamed-041859323?utm_source=share&amp;utm_campaign=share_via&amp;utm_content=profile&amp;utm_medium=android_app")</f>
        <v>https://www.linkedin.com/in/yasmen-mohamed-041859323?utm_source=share&amp;utm_campaign=share_via&amp;utm_content=profile&amp;utm_medium=android_app</v>
      </c>
      <c r="I56" s="12" t="str">
        <f ca="1">IFERROR(__xludf.DUMMYFUNCTION("""COMPUTED_VALUE"""),"https://github.com/yasminm0hamed/Git_raining")</f>
        <v>https://github.com/yasminm0hamed/Git_raining</v>
      </c>
      <c r="J56" s="1"/>
      <c r="K56" s="1" t="str">
        <f ca="1">IFERROR(__xludf.DUMMYFUNCTION("""COMPUTED_VALUE"""),"Mansoura University")</f>
        <v>Mansoura University</v>
      </c>
      <c r="L56" s="1"/>
      <c r="M56" s="1" t="str">
        <f ca="1">IFERROR(__xludf.DUMMYFUNCTION("""COMPUTED_VALUE"""),"Faculty of Computer &amp; Information Science")</f>
        <v>Faculty of Computer &amp; Information Science</v>
      </c>
      <c r="N56" s="1"/>
      <c r="O56" s="1" t="str">
        <f ca="1">IFERROR(__xludf.DUMMYFUNCTION("""COMPUTED_VALUE"""),"1st Year")</f>
        <v>1st Year</v>
      </c>
      <c r="R56" s="1" t="s">
        <v>217</v>
      </c>
      <c r="S56" s="1" t="s">
        <v>176</v>
      </c>
    </row>
    <row r="57" spans="1:19">
      <c r="A57" s="1" t="str">
        <f ca="1">IFERROR(__xludf.DUMMYFUNCTION("""COMPUTED_VALUE"""),"سما ياسين عبد العزيز حامد محمد ")</f>
        <v xml:space="preserve">سما ياسين عبد العزيز حامد محمد </v>
      </c>
      <c r="B57" s="1" t="str">
        <f ca="1">IFERROR(__xludf.DUMMYFUNCTION("""COMPUTED_VALUE"""),"samayaseen39@gmail.com")</f>
        <v>samayaseen39@gmail.com</v>
      </c>
      <c r="C57" s="1">
        <f ca="1">IFERROR(__xludf.DUMMYFUNCTION("""COMPUTED_VALUE"""),201093031936)</f>
        <v>201093031936</v>
      </c>
      <c r="D57" s="1" t="str">
        <f ca="1">IFERROR(__xludf.DUMMYFUNCTION("""COMPUTED_VALUE"""),"المنصورة")</f>
        <v>المنصورة</v>
      </c>
      <c r="E57" s="12" t="str">
        <f ca="1">IFERROR(__xludf.DUMMYFUNCTION("""COMPUTED_VALUE"""),"https://www.facebook.com/sama.yaseen.167?mibextid=ZbWKwL")</f>
        <v>https://www.facebook.com/sama.yaseen.167?mibextid=ZbWKwL</v>
      </c>
      <c r="F57" s="1" t="str">
        <f ca="1">IFERROR(__xludf.DUMMYFUNCTION("""COMPUTED_VALUE"""),".")</f>
        <v>.</v>
      </c>
      <c r="G57" s="12" t="str">
        <f ca="1">IFERROR(__xludf.DUMMYFUNCTION("""COMPUTED_VALUE"""),"https://x.com/samayaseen61100?t=-QUZlQgC1K8JRj2tFQAi3g&amp;s=09")</f>
        <v>https://x.com/samayaseen61100?t=-QUZlQgC1K8JRj2tFQAi3g&amp;s=09</v>
      </c>
      <c r="H57" s="12" t="str">
        <f ca="1">IFERROR(__xludf.DUMMYFUNCTION("""COMPUTED_VALUE"""),"https://www.linkedin.com/in/sama-yaseen-54ba3432a?utm_source=share&amp;utm_campaign=share_via&amp;utm_content=profile&amp;utm_medium=android_app")</f>
        <v>https://www.linkedin.com/in/sama-yaseen-54ba3432a?utm_source=share&amp;utm_campaign=share_via&amp;utm_content=profile&amp;utm_medium=android_app</v>
      </c>
      <c r="I57" s="1"/>
      <c r="J57" s="1"/>
      <c r="K57" s="1" t="str">
        <f ca="1">IFERROR(__xludf.DUMMYFUNCTION("""COMPUTED_VALUE"""),"Mansoura University")</f>
        <v>Mansoura University</v>
      </c>
      <c r="L57" s="1"/>
      <c r="M57" s="1" t="str">
        <f ca="1">IFERROR(__xludf.DUMMYFUNCTION("""COMPUTED_VALUE"""),"Faculty of Computer &amp; Information Science")</f>
        <v>Faculty of Computer &amp; Information Science</v>
      </c>
      <c r="N57" s="1"/>
      <c r="O57" s="1" t="str">
        <f ca="1">IFERROR(__xludf.DUMMYFUNCTION("""COMPUTED_VALUE"""),"1st Year")</f>
        <v>1st Year</v>
      </c>
      <c r="R57" s="1" t="s">
        <v>218</v>
      </c>
      <c r="S57" s="1" t="s">
        <v>176</v>
      </c>
    </row>
    <row r="58" spans="1:19">
      <c r="A58" s="1" t="str">
        <f ca="1">IFERROR(__xludf.DUMMYFUNCTION("""COMPUTED_VALUE"""),"‪Mohammed Salah‬‏")</f>
        <v>‪Mohammed Salah‬‏</v>
      </c>
      <c r="B58" s="1" t="str">
        <f ca="1">IFERROR(__xludf.DUMMYFUNCTION("""COMPUTED_VALUE"""),"www.01096730847mohamed@gmail.com")</f>
        <v>www.01096730847mohamed@gmail.com</v>
      </c>
      <c r="C58" s="1">
        <f ca="1">IFERROR(__xludf.DUMMYFUNCTION("""COMPUTED_VALUE"""),201014450372)</f>
        <v>201014450372</v>
      </c>
      <c r="D58" s="1" t="str">
        <f ca="1">IFERROR(__xludf.DUMMYFUNCTION("""COMPUTED_VALUE"""),"22شارع القدس")</f>
        <v>22شارع القدس</v>
      </c>
      <c r="E58" s="12" t="str">
        <f ca="1">IFERROR(__xludf.DUMMYFUNCTION("""COMPUTED_VALUE"""),"https://www.facebook.com/profile.php?id=100009060334855&amp;mibextid=ZbWKwL")</f>
        <v>https://www.facebook.com/profile.php?id=100009060334855&amp;mibextid=ZbWKwL</v>
      </c>
      <c r="F58" s="12" t="str">
        <f ca="1">IFERROR(__xludf.DUMMYFUNCTION("""COMPUTED_VALUE"""),"https://www.facebook.com/profile.php?id=100009060334855&amp;mibextid=ZbWKwL")</f>
        <v>https://www.facebook.com/profile.php?id=100009060334855&amp;mibextid=ZbWKwL</v>
      </c>
      <c r="G58" s="12" t="str">
        <f ca="1">IFERROR(__xludf.DUMMYFUNCTION("""COMPUTED_VALUE"""),"https://www.facebook.com/profile.php?id=100009060334855&amp;mibextid=ZbWKwL")</f>
        <v>https://www.facebook.com/profile.php?id=100009060334855&amp;mibextid=ZbWKwL</v>
      </c>
      <c r="H58" s="12" t="str">
        <f ca="1">IFERROR(__xludf.DUMMYFUNCTION("""COMPUTED_VALUE"""),"https://www.facebook.com/profile.php?id=100009060334855&amp;mibextid=ZbWKwL")</f>
        <v>https://www.facebook.com/profile.php?id=100009060334855&amp;mibextid=ZbWKwL</v>
      </c>
      <c r="I58" s="1"/>
      <c r="J58" s="1"/>
      <c r="K58" s="1" t="str">
        <f ca="1">IFERROR(__xludf.DUMMYFUNCTION("""COMPUTED_VALUE"""),"Other")</f>
        <v>Other</v>
      </c>
      <c r="L58" s="1"/>
      <c r="M58" s="1" t="str">
        <f ca="1">IFERROR(__xludf.DUMMYFUNCTION("""COMPUTED_VALUE"""),"Faculty of Computer &amp; Information Science")</f>
        <v>Faculty of Computer &amp; Information Science</v>
      </c>
      <c r="N58" s="1"/>
      <c r="O58" s="1" t="str">
        <f ca="1">IFERROR(__xludf.DUMMYFUNCTION("""COMPUTED_VALUE"""),"4th Year")</f>
        <v>4th Year</v>
      </c>
      <c r="R58" s="1" t="s">
        <v>219</v>
      </c>
      <c r="S58" s="1" t="s">
        <v>192</v>
      </c>
    </row>
    <row r="59" spans="1:19">
      <c r="A59" s="1" t="str">
        <f ca="1">IFERROR(__xludf.DUMMYFUNCTION("""COMPUTED_VALUE"""),"Mahmoud Ayman Mohamed")</f>
        <v>Mahmoud Ayman Mohamed</v>
      </c>
      <c r="B59" s="1" t="str">
        <f ca="1">IFERROR(__xludf.DUMMYFUNCTION("""COMPUTED_VALUE"""),"mahmoud.aymann50@gmail.com")</f>
        <v>mahmoud.aymann50@gmail.com</v>
      </c>
      <c r="C59" s="1">
        <f ca="1">IFERROR(__xludf.DUMMYFUNCTION("""COMPUTED_VALUE"""),201014919370)</f>
        <v>201014919370</v>
      </c>
      <c r="D59" s="1" t="str">
        <f ca="1">IFERROR(__xludf.DUMMYFUNCTION("""COMPUTED_VALUE"""),"Mansoura")</f>
        <v>Mansoura</v>
      </c>
      <c r="E59" s="12" t="str">
        <f ca="1">IFERROR(__xludf.DUMMYFUNCTION("""COMPUTED_VALUE"""),"https://www.facebook.com/profile.php?id=100057069222022&amp;locale=ar_AR")</f>
        <v>https://www.facebook.com/profile.php?id=100057069222022&amp;locale=ar_AR</v>
      </c>
      <c r="F59" s="12" t="str">
        <f ca="1">IFERROR(__xludf.DUMMYFUNCTION("""COMPUTED_VALUE"""),"https://discord.com/channels/@me")</f>
        <v>https://discord.com/channels/@me</v>
      </c>
      <c r="G59" s="1"/>
      <c r="H59" s="12" t="str">
        <f ca="1">IFERROR(__xludf.DUMMYFUNCTION("""COMPUTED_VALUE"""),"https://www.linkedin.com/in/mahmoud-ayman-7126482a2/")</f>
        <v>https://www.linkedin.com/in/mahmoud-ayman-7126482a2/</v>
      </c>
      <c r="I59" s="1"/>
      <c r="J59" s="12" t="str">
        <f ca="1">IFERROR(__xludf.DUMMYFUNCTION("""COMPUTED_VALUE"""),"https://www.behance.net/mahmoudaymann")</f>
        <v>https://www.behance.net/mahmoudaymann</v>
      </c>
      <c r="K59" s="1" t="str">
        <f ca="1">IFERROR(__xludf.DUMMYFUNCTION("""COMPUTED_VALUE"""),"Mansoura University")</f>
        <v>Mansoura University</v>
      </c>
      <c r="L59" s="1"/>
      <c r="M59" s="1" t="str">
        <f ca="1">IFERROR(__xludf.DUMMYFUNCTION("""COMPUTED_VALUE"""),"Other")</f>
        <v>Other</v>
      </c>
      <c r="N59" s="1" t="str">
        <f ca="1">IFERROR(__xludf.DUMMYFUNCTION("""COMPUTED_VALUE""")," Agriculture")</f>
        <v xml:space="preserve"> Agriculture</v>
      </c>
      <c r="O59" s="1" t="str">
        <f ca="1">IFERROR(__xludf.DUMMYFUNCTION("""COMPUTED_VALUE"""),"4th Year")</f>
        <v>4th Year</v>
      </c>
      <c r="R59" s="1" t="s">
        <v>220</v>
      </c>
      <c r="S59" s="1" t="s">
        <v>192</v>
      </c>
    </row>
    <row r="60" spans="1:19">
      <c r="A60" s="1" t="str">
        <f ca="1">IFERROR(__xludf.DUMMYFUNCTION("""COMPUTED_VALUE"""),"Menna Amin")</f>
        <v>Menna Amin</v>
      </c>
      <c r="B60" s="1" t="str">
        <f ca="1">IFERROR(__xludf.DUMMYFUNCTION("""COMPUTED_VALUE"""),"menna2amin3@gmail.com")</f>
        <v>menna2amin3@gmail.com</v>
      </c>
      <c r="C60" s="1">
        <f ca="1">IFERROR(__xludf.DUMMYFUNCTION("""COMPUTED_VALUE"""),201064029928)</f>
        <v>201064029928</v>
      </c>
      <c r="D60" s="1" t="str">
        <f ca="1">IFERROR(__xludf.DUMMYFUNCTION("""COMPUTED_VALUE"""),"Mansoura ")</f>
        <v xml:space="preserve">Mansoura </v>
      </c>
      <c r="E60" s="12" t="str">
        <f ca="1">IFERROR(__xludf.DUMMYFUNCTION("""COMPUTED_VALUE"""),"https://www.facebook.com/menna.amin.9256?mibextid=ZbWKwL")</f>
        <v>https://www.facebook.com/menna.amin.9256?mibextid=ZbWKwL</v>
      </c>
      <c r="F60" s="1" t="str">
        <f ca="1">IFERROR(__xludf.DUMMYFUNCTION("""COMPUTED_VALUE"""),".")</f>
        <v>.</v>
      </c>
      <c r="G60" s="12" t="str">
        <f ca="1">IFERROR(__xludf.DUMMYFUNCTION("""COMPUTED_VALUE"""),"https://www.facebook.com/profile.php?id=61564130426071&amp;mibextid=ZbWKwL")</f>
        <v>https://www.facebook.com/profile.php?id=61564130426071&amp;mibextid=ZbWKwL</v>
      </c>
      <c r="H60" s="12" t="str">
        <f ca="1">IFERROR(__xludf.DUMMYFUNCTION("""COMPUTED_VALUE"""),"https://www.linkedin.com/in/menna-amin-226a84329?utm_source=share&amp;utm_campaign=share_via&amp;utm_content=profile&amp;utm_medium=android_app")</f>
        <v>https://www.linkedin.com/in/menna-amin-226a84329?utm_source=share&amp;utm_campaign=share_via&amp;utm_content=profile&amp;utm_medium=android_app</v>
      </c>
      <c r="I60" s="1"/>
      <c r="J60" s="1"/>
      <c r="K60" s="1" t="str">
        <f ca="1">IFERROR(__xludf.DUMMYFUNCTION("""COMPUTED_VALUE"""),"Mansoura University")</f>
        <v>Mansoura University</v>
      </c>
      <c r="L60" s="1"/>
      <c r="M60" s="1" t="str">
        <f ca="1">IFERROR(__xludf.DUMMYFUNCTION("""COMPUTED_VALUE"""),"Other")</f>
        <v>Other</v>
      </c>
      <c r="N60" s="1" t="str">
        <f ca="1">IFERROR(__xludf.DUMMYFUNCTION("""COMPUTED_VALUE"""),"Faculty Education Quaity")</f>
        <v>Faculty Education Quaity</v>
      </c>
      <c r="O60" s="1" t="str">
        <f ca="1">IFERROR(__xludf.DUMMYFUNCTION("""COMPUTED_VALUE"""),"3rd Year")</f>
        <v>3rd Year</v>
      </c>
      <c r="R60" s="1" t="s">
        <v>54</v>
      </c>
      <c r="S60" s="1" t="s">
        <v>170</v>
      </c>
    </row>
    <row r="61" spans="1:19">
      <c r="A61" s="1" t="str">
        <f ca="1">IFERROR(__xludf.DUMMYFUNCTION("""COMPUTED_VALUE"""),"Nada ")</f>
        <v xml:space="preserve">Nada </v>
      </c>
      <c r="B61" s="1" t="str">
        <f ca="1">IFERROR(__xludf.DUMMYFUNCTION("""COMPUTED_VALUE"""),"nadoshahelal@gmail.com")</f>
        <v>nadoshahelal@gmail.com</v>
      </c>
      <c r="C61" s="1">
        <f ca="1">IFERROR(__xludf.DUMMYFUNCTION("""COMPUTED_VALUE"""),201023592153)</f>
        <v>201023592153</v>
      </c>
      <c r="D61" s="1" t="str">
        <f ca="1">IFERROR(__xludf.DUMMYFUNCTION("""COMPUTED_VALUE"""),"السنبلاوين بالدقهليه ")</f>
        <v xml:space="preserve">السنبلاوين بالدقهليه </v>
      </c>
      <c r="E61" s="12" t="str">
        <f ca="1">IFERROR(__xludf.DUMMYFUNCTION("""COMPUTED_VALUE"""),"https://www.facebook.com/profile.php?id=100064978765314&amp;mibextid=ZbWKwL")</f>
        <v>https://www.facebook.com/profile.php?id=100064978765314&amp;mibextid=ZbWKwL</v>
      </c>
      <c r="F61" s="12" t="str">
        <f ca="1">IFERROR(__xludf.DUMMYFUNCTION("""COMPUTED_VALUE"""),"https://discord.com/accessibility")</f>
        <v>https://discord.com/accessibility</v>
      </c>
      <c r="G61" s="1"/>
      <c r="H61" s="1"/>
      <c r="I61" s="1"/>
      <c r="J61" s="1"/>
      <c r="K61" s="1" t="str">
        <f ca="1">IFERROR(__xludf.DUMMYFUNCTION("""COMPUTED_VALUE"""),"Mansoura University")</f>
        <v>Mansoura University</v>
      </c>
      <c r="L61" s="1"/>
      <c r="M61" s="1" t="str">
        <f ca="1">IFERROR(__xludf.DUMMYFUNCTION("""COMPUTED_VALUE"""),"Faculty of Computer &amp; Information Science")</f>
        <v>Faculty of Computer &amp; Information Science</v>
      </c>
      <c r="N61" s="1"/>
      <c r="O61" s="1" t="str">
        <f ca="1">IFERROR(__xludf.DUMMYFUNCTION("""COMPUTED_VALUE"""),"1st Year")</f>
        <v>1st Year</v>
      </c>
      <c r="R61" s="1" t="s">
        <v>221</v>
      </c>
      <c r="S61" s="1" t="s">
        <v>176</v>
      </c>
    </row>
    <row r="62" spans="1:19">
      <c r="A62" s="1" t="str">
        <f ca="1">IFERROR(__xludf.DUMMYFUNCTION("""COMPUTED_VALUE"""),"Mohamed Waleed Mohamed Saad")</f>
        <v>Mohamed Waleed Mohamed Saad</v>
      </c>
      <c r="B62" s="1" t="str">
        <f ca="1">IFERROR(__xludf.DUMMYFUNCTION("""COMPUTED_VALUE"""),"medowaleed46@gmail.com")</f>
        <v>medowaleed46@gmail.com</v>
      </c>
      <c r="C62" s="1">
        <f ca="1">IFERROR(__xludf.DUMMYFUNCTION("""COMPUTED_VALUE"""),201092846044)</f>
        <v>201092846044</v>
      </c>
      <c r="D62" s="1" t="str">
        <f ca="1">IFERROR(__xludf.DUMMYFUNCTION("""COMPUTED_VALUE"""),"Mansoura")</f>
        <v>Mansoura</v>
      </c>
      <c r="E62" s="12" t="str">
        <f ca="1">IFERROR(__xludf.DUMMYFUNCTION("""COMPUTED_VALUE"""),"https://www.facebook.com/medowaleed15?locale=ar_AR")</f>
        <v>https://www.facebook.com/medowaleed15?locale=ar_AR</v>
      </c>
      <c r="F62" s="1" t="str">
        <f ca="1">IFERROR(__xludf.DUMMYFUNCTION("""COMPUTED_VALUE"""),"medo3905")</f>
        <v>medo3905</v>
      </c>
      <c r="G62" s="1"/>
      <c r="H62" s="12" t="str">
        <f ca="1">IFERROR(__xludf.DUMMYFUNCTION("""COMPUTED_VALUE"""),"www.linkedin.com/in/mohamed-waleed-79b12224b")</f>
        <v>www.linkedin.com/in/mohamed-waleed-79b12224b</v>
      </c>
      <c r="I62" s="1"/>
      <c r="J62" s="1"/>
      <c r="K62" s="1" t="str">
        <f ca="1">IFERROR(__xludf.DUMMYFUNCTION("""COMPUTED_VALUE"""),"Mansoura University")</f>
        <v>Mansoura University</v>
      </c>
      <c r="L62" s="1"/>
      <c r="M62" s="1" t="str">
        <f ca="1">IFERROR(__xludf.DUMMYFUNCTION("""COMPUTED_VALUE"""),"Faculty of Computer &amp; Information Science")</f>
        <v>Faculty of Computer &amp; Information Science</v>
      </c>
      <c r="N62" s="1"/>
      <c r="O62" s="1" t="str">
        <f ca="1">IFERROR(__xludf.DUMMYFUNCTION("""COMPUTED_VALUE"""),"3rd Year")</f>
        <v>3rd Year</v>
      </c>
      <c r="R62" s="1" t="s">
        <v>222</v>
      </c>
      <c r="S62" s="1" t="s">
        <v>170</v>
      </c>
    </row>
    <row r="63" spans="1:19">
      <c r="A63" s="1" t="str">
        <f ca="1">IFERROR(__xludf.DUMMYFUNCTION("""COMPUTED_VALUE"""),"Malak abo elfadl Mohamed salama ")</f>
        <v xml:space="preserve">Malak abo elfadl Mohamed salama </v>
      </c>
      <c r="B63" s="1" t="str">
        <f ca="1">IFERROR(__xludf.DUMMYFUNCTION("""COMPUTED_VALUE"""),"malaksalamamohamed4@gmail.com")</f>
        <v>malaksalamamohamed4@gmail.com</v>
      </c>
      <c r="C63" s="1">
        <f ca="1">IFERROR(__xludf.DUMMYFUNCTION("""COMPUTED_VALUE"""),201029147677)</f>
        <v>201029147677</v>
      </c>
      <c r="D63" s="1" t="str">
        <f ca="1">IFERROR(__xludf.DUMMYFUNCTION("""COMPUTED_VALUE"""),"Met gamr")</f>
        <v>Met gamr</v>
      </c>
      <c r="E63" s="12" t="str">
        <f ca="1">IFERROR(__xludf.DUMMYFUNCTION("""COMPUTED_VALUE"""),"https://www.facebook.com/share/14haxRTehW/")</f>
        <v>https://www.facebook.com/share/14haxRTehW/</v>
      </c>
      <c r="F63" s="1" t="str">
        <f ca="1">IFERROR(__xludf.DUMMYFUNCTION("""COMPUTED_VALUE"""),"malaksalama2005_94504")</f>
        <v>malaksalama2005_94504</v>
      </c>
      <c r="G63" s="1"/>
      <c r="H63" s="1"/>
      <c r="I63" s="1"/>
      <c r="J63" s="1"/>
      <c r="K63" s="1" t="str">
        <f ca="1">IFERROR(__xludf.DUMMYFUNCTION("""COMPUTED_VALUE"""),"Mansoura University")</f>
        <v>Mansoura University</v>
      </c>
      <c r="L63" s="1"/>
      <c r="M63" s="1" t="str">
        <f ca="1">IFERROR(__xludf.DUMMYFUNCTION("""COMPUTED_VALUE"""),"Faculty of Computer &amp; Information Science")</f>
        <v>Faculty of Computer &amp; Information Science</v>
      </c>
      <c r="N63" s="1"/>
      <c r="O63" s="1" t="str">
        <f ca="1">IFERROR(__xludf.DUMMYFUNCTION("""COMPUTED_VALUE"""),"2nd Year")</f>
        <v>2nd Year</v>
      </c>
      <c r="R63" s="1" t="s">
        <v>223</v>
      </c>
      <c r="S63" s="1" t="s">
        <v>173</v>
      </c>
    </row>
    <row r="64" spans="1:19">
      <c r="A64" s="1" t="str">
        <f ca="1">IFERROR(__xludf.DUMMYFUNCTION("""COMPUTED_VALUE"""),"Yasmeen Mahmoud Bedir Elmesiry")</f>
        <v>Yasmeen Mahmoud Bedir Elmesiry</v>
      </c>
      <c r="B64" s="1" t="str">
        <f ca="1">IFERROR(__xludf.DUMMYFUNCTION("""COMPUTED_VALUE"""),"yasmeenelmesiry812@gmail.com")</f>
        <v>yasmeenelmesiry812@gmail.com</v>
      </c>
      <c r="C64" s="1">
        <f ca="1">IFERROR(__xludf.DUMMYFUNCTION("""COMPUTED_VALUE"""),201271264724)</f>
        <v>201271264724</v>
      </c>
      <c r="D64" s="1" t="str">
        <f ca="1">IFERROR(__xludf.DUMMYFUNCTION("""COMPUTED_VALUE"""),"محافظه الغربيه مركز سمنود قريه محله زياد")</f>
        <v>محافظه الغربيه مركز سمنود قريه محله زياد</v>
      </c>
      <c r="E64" s="12" t="str">
        <f ca="1">IFERROR(__xludf.DUMMYFUNCTION("""COMPUTED_VALUE"""),"https://www.facebook.com/yasmeen.elmesiry?mibextid=ZbWKwL")</f>
        <v>https://www.facebook.com/yasmeen.elmesiry?mibextid=ZbWKwL</v>
      </c>
      <c r="F64" s="1" t="str">
        <f ca="1">IFERROR(__xludf.DUMMYFUNCTION("""COMPUTED_VALUE"""),"yasmeenelmesiry")</f>
        <v>yasmeenelmesiry</v>
      </c>
      <c r="G64" s="12" t="str">
        <f ca="1">IFERROR(__xludf.DUMMYFUNCTION("""COMPUTED_VALUE"""),"https://x.com/yvsmonvvvv?t=X0VBPYq6nZlzpHvSL1Go9g&amp;s=08")</f>
        <v>https://x.com/yvsmonvvvv?t=X0VBPYq6nZlzpHvSL1Go9g&amp;s=08</v>
      </c>
      <c r="H64" s="1"/>
      <c r="I64" s="1"/>
      <c r="J64" s="1"/>
      <c r="K64" s="1" t="str">
        <f ca="1">IFERROR(__xludf.DUMMYFUNCTION("""COMPUTED_VALUE"""),"Mansoura University")</f>
        <v>Mansoura University</v>
      </c>
      <c r="L64" s="1"/>
      <c r="M64" s="1" t="str">
        <f ca="1">IFERROR(__xludf.DUMMYFUNCTION("""COMPUTED_VALUE"""),"Faculty of Computer &amp; Information Science")</f>
        <v>Faculty of Computer &amp; Information Science</v>
      </c>
      <c r="N64" s="1"/>
      <c r="O64" s="1" t="str">
        <f ca="1">IFERROR(__xludf.DUMMYFUNCTION("""COMPUTED_VALUE"""),"1st Year")</f>
        <v>1st Year</v>
      </c>
      <c r="R64" s="1" t="s">
        <v>224</v>
      </c>
      <c r="S64" s="1" t="s">
        <v>176</v>
      </c>
    </row>
    <row r="65" spans="1:19">
      <c r="A65" s="1" t="str">
        <f ca="1">IFERROR(__xludf.DUMMYFUNCTION("""COMPUTED_VALUE"""),"Zeiad Gamal Saad El-Metwaly")</f>
        <v>Zeiad Gamal Saad El-Metwaly</v>
      </c>
      <c r="B65" s="1" t="str">
        <f ca="1">IFERROR(__xludf.DUMMYFUNCTION("""COMPUTED_VALUE"""),"gamalzeiad133@gmail.com")</f>
        <v>gamalzeiad133@gmail.com</v>
      </c>
      <c r="C65" s="1">
        <f ca="1">IFERROR(__xludf.DUMMYFUNCTION("""COMPUTED_VALUE"""),201552525653)</f>
        <v>201552525653</v>
      </c>
      <c r="D65" s="1" t="str">
        <f ca="1">IFERROR(__xludf.DUMMYFUNCTION("""COMPUTED_VALUE"""),"Mansoura")</f>
        <v>Mansoura</v>
      </c>
      <c r="E65" s="12" t="str">
        <f ca="1">IFERROR(__xludf.DUMMYFUNCTION("""COMPUTED_VALUE"""),"https://www.facebook.com/zeiad.gamal.167")</f>
        <v>https://www.facebook.com/zeiad.gamal.167</v>
      </c>
      <c r="F65" s="1" t="str">
        <f ca="1">IFERROR(__xludf.DUMMYFUNCTION("""COMPUTED_VALUE"""),"zeiad39")</f>
        <v>zeiad39</v>
      </c>
      <c r="G65" s="12" t="str">
        <f ca="1">IFERROR(__xludf.DUMMYFUNCTION("""COMPUTED_VALUE"""),"https://x.com/zeiad_39?t=L1zxSLBvNE0q5a7wKk8SPA&amp;s=09")</f>
        <v>https://x.com/zeiad_39?t=L1zxSLBvNE0q5a7wKk8SPA&amp;s=09</v>
      </c>
      <c r="H65" s="12" t="str">
        <f ca="1">IFERROR(__xludf.DUMMYFUNCTION("""COMPUTED_VALUE"""),"http://www.linkedin.com/in/zeiad-gamal-7b8240248")</f>
        <v>http://www.linkedin.com/in/zeiad-gamal-7b8240248</v>
      </c>
      <c r="I65" s="12" t="str">
        <f ca="1">IFERROR(__xludf.DUMMYFUNCTION("""COMPUTED_VALUE"""),"https://github.com/ZeiadGamalSaad")</f>
        <v>https://github.com/ZeiadGamalSaad</v>
      </c>
      <c r="J65" s="1"/>
      <c r="K65" s="1" t="str">
        <f ca="1">IFERROR(__xludf.DUMMYFUNCTION("""COMPUTED_VALUE"""),"Mansoura University")</f>
        <v>Mansoura University</v>
      </c>
      <c r="L65" s="1"/>
      <c r="M65" s="1" t="str">
        <f ca="1">IFERROR(__xludf.DUMMYFUNCTION("""COMPUTED_VALUE"""),"Faculty of Computer &amp; Information Science")</f>
        <v>Faculty of Computer &amp; Information Science</v>
      </c>
      <c r="N65" s="1"/>
      <c r="O65" s="1" t="str">
        <f ca="1">IFERROR(__xludf.DUMMYFUNCTION("""COMPUTED_VALUE"""),"3rd Year")</f>
        <v>3rd Year</v>
      </c>
      <c r="R65" s="1" t="s">
        <v>42</v>
      </c>
      <c r="S65" s="1" t="s">
        <v>170</v>
      </c>
    </row>
    <row r="66" spans="1:19">
      <c r="A66" s="1" t="str">
        <f ca="1">IFERROR(__xludf.DUMMYFUNCTION("""COMPUTED_VALUE"""),"Esraa Ebrahim Abdelhamed Mohamed Ragab")</f>
        <v>Esraa Ebrahim Abdelhamed Mohamed Ragab</v>
      </c>
      <c r="B66" s="1" t="str">
        <f ca="1">IFERROR(__xludf.DUMMYFUNCTION("""COMPUTED_VALUE"""),"esraaebrahim387@gmail.com")</f>
        <v>esraaebrahim387@gmail.com</v>
      </c>
      <c r="C66" s="1">
        <f ca="1">IFERROR(__xludf.DUMMYFUNCTION("""COMPUTED_VALUE"""),201000547005)</f>
        <v>201000547005</v>
      </c>
      <c r="D66" s="1" t="str">
        <f ca="1">IFERROR(__xludf.DUMMYFUNCTION("""COMPUTED_VALUE"""),"Mansora ")</f>
        <v xml:space="preserve">Mansora </v>
      </c>
      <c r="E66" s="12" t="str">
        <f ca="1">IFERROR(__xludf.DUMMYFUNCTION("""COMPUTED_VALUE"""),"https://www.facebook.com/profile.php?id=61568331659242&amp;mibextid=ZbWKwL")</f>
        <v>https://www.facebook.com/profile.php?id=61568331659242&amp;mibextid=ZbWKwL</v>
      </c>
      <c r="F66" s="1" t="str">
        <f ca="1">IFERROR(__xludf.DUMMYFUNCTION("""COMPUTED_VALUE"""),"e048177")</f>
        <v>e048177</v>
      </c>
      <c r="G66" s="1"/>
      <c r="H66" s="1"/>
      <c r="I66" s="1"/>
      <c r="J66" s="1"/>
      <c r="K66" s="1" t="str">
        <f ca="1">IFERROR(__xludf.DUMMYFUNCTION("""COMPUTED_VALUE"""),"Mansoura University")</f>
        <v>Mansoura University</v>
      </c>
      <c r="L66" s="1"/>
      <c r="M66" s="1" t="str">
        <f ca="1">IFERROR(__xludf.DUMMYFUNCTION("""COMPUTED_VALUE"""),"Faculty of Computer &amp; Information Science")</f>
        <v>Faculty of Computer &amp; Information Science</v>
      </c>
      <c r="N66" s="1"/>
      <c r="O66" s="1" t="str">
        <f ca="1">IFERROR(__xludf.DUMMYFUNCTION("""COMPUTED_VALUE"""),"1st Year")</f>
        <v>1st Year</v>
      </c>
      <c r="R66" s="1" t="s">
        <v>225</v>
      </c>
      <c r="S66" s="1" t="s">
        <v>176</v>
      </c>
    </row>
    <row r="67" spans="1:19">
      <c r="A67" s="1" t="str">
        <f ca="1">IFERROR(__xludf.DUMMYFUNCTION("""COMPUTED_VALUE"""),"youssef Mohamed Hamdy Sleem")</f>
        <v>youssef Mohamed Hamdy Sleem</v>
      </c>
      <c r="B67" s="1" t="str">
        <f ca="1">IFERROR(__xludf.DUMMYFUNCTION("""COMPUTED_VALUE"""),"youssefsleem2343588@gmail.com")</f>
        <v>youssefsleem2343588@gmail.com</v>
      </c>
      <c r="C67" s="1">
        <f ca="1">IFERROR(__xludf.DUMMYFUNCTION("""COMPUTED_VALUE"""),201080163135)</f>
        <v>201080163135</v>
      </c>
      <c r="D67" s="1" t="str">
        <f ca="1">IFERROR(__xludf.DUMMYFUNCTION("""COMPUTED_VALUE"""),"Mansoura")</f>
        <v>Mansoura</v>
      </c>
      <c r="E67" s="12" t="str">
        <f ca="1">IFERROR(__xludf.DUMMYFUNCTION("""COMPUTED_VALUE"""),"https://www.facebook.com/profile.php?id=100035618687250")</f>
        <v>https://www.facebook.com/profile.php?id=100035618687250</v>
      </c>
      <c r="F67" s="1" t="str">
        <f ca="1">IFERROR(__xludf.DUMMYFUNCTION("""COMPUTED_VALUE"""),"837092309236711465")</f>
        <v>837092309236711465</v>
      </c>
      <c r="G67" s="12" t="str">
        <f ca="1">IFERROR(__xludf.DUMMYFUNCTION("""COMPUTED_VALUE"""),"https://x.com/Youssefsleem24")</f>
        <v>https://x.com/Youssefsleem24</v>
      </c>
      <c r="H67" s="12" t="str">
        <f ca="1">IFERROR(__xludf.DUMMYFUNCTION("""COMPUTED_VALUE"""),"https://www.linkedin.com/in/youssef-sleem-432b52297?utm_source=share&amp;utm_campaign=share_via&amp;utm_content=profile&amp;utm_medium=ios_app")</f>
        <v>https://www.linkedin.com/in/youssef-sleem-432b52297?utm_source=share&amp;utm_campaign=share_via&amp;utm_content=profile&amp;utm_medium=ios_app</v>
      </c>
      <c r="I67" s="1"/>
      <c r="J67" s="1"/>
      <c r="K67" s="1" t="str">
        <f ca="1">IFERROR(__xludf.DUMMYFUNCTION("""COMPUTED_VALUE"""),"Mansoura University")</f>
        <v>Mansoura University</v>
      </c>
      <c r="L67" s="1"/>
      <c r="M67" s="1" t="str">
        <f ca="1">IFERROR(__xludf.DUMMYFUNCTION("""COMPUTED_VALUE"""),"Faculty of Computer &amp; Information Science")</f>
        <v>Faculty of Computer &amp; Information Science</v>
      </c>
      <c r="N67" s="1"/>
      <c r="O67" s="1" t="str">
        <f ca="1">IFERROR(__xludf.DUMMYFUNCTION("""COMPUTED_VALUE"""),"2nd Year")</f>
        <v>2nd Year</v>
      </c>
      <c r="R67" s="1" t="s">
        <v>226</v>
      </c>
      <c r="S67" s="1" t="s">
        <v>173</v>
      </c>
    </row>
    <row r="68" spans="1:19">
      <c r="A68" s="1" t="str">
        <f ca="1">IFERROR(__xludf.DUMMYFUNCTION("""COMPUTED_VALUE"""),"Alaa Nasr El din Abo Bakr")</f>
        <v>Alaa Nasr El din Abo Bakr</v>
      </c>
      <c r="B68" s="1" t="str">
        <f ca="1">IFERROR(__xludf.DUMMYFUNCTION("""COMPUTED_VALUE"""),"nassraalaa@gmail.com")</f>
        <v>nassraalaa@gmail.com</v>
      </c>
      <c r="C68" s="1">
        <f ca="1">IFERROR(__xludf.DUMMYFUNCTION("""COMPUTED_VALUE"""),201094754326)</f>
        <v>201094754326</v>
      </c>
      <c r="D68" s="1" t="str">
        <f ca="1">IFERROR(__xludf.DUMMYFUNCTION("""COMPUTED_VALUE"""),"Mansoura")</f>
        <v>Mansoura</v>
      </c>
      <c r="E68" s="12" t="str">
        <f ca="1">IFERROR(__xludf.DUMMYFUNCTION("""COMPUTED_VALUE"""),"https://www.facebook.com/alaa.nasr.39904?mibextid=ZbWKwL")</f>
        <v>https://www.facebook.com/alaa.nasr.39904?mibextid=ZbWKwL</v>
      </c>
      <c r="F68" s="12" t="str">
        <f ca="1">IFERROR(__xludf.DUMMYFUNCTION("""COMPUTED_VALUE"""),"https://discordapp.com/users/1210715414099660842")</f>
        <v>https://discordapp.com/users/1210715414099660842</v>
      </c>
      <c r="G68" s="12" t="str">
        <f ca="1">IFERROR(__xludf.DUMMYFUNCTION("""COMPUTED_VALUE"""),"https://x.com/Alaa_nassr1?s=09")</f>
        <v>https://x.com/Alaa_nassr1?s=09</v>
      </c>
      <c r="H68" s="12" t="str">
        <f ca="1">IFERROR(__xludf.DUMMYFUNCTION("""COMPUTED_VALUE"""),"https://www.linkedin.com/in/alaa-nasr-321387324?utm_source=share&amp;utm_campaign=share_via&amp;utm_content=profile&amp;utm_medium=android_app")</f>
        <v>https://www.linkedin.com/in/alaa-nasr-321387324?utm_source=share&amp;utm_campaign=share_via&amp;utm_content=profile&amp;utm_medium=android_app</v>
      </c>
      <c r="I68" s="1"/>
      <c r="J68" s="1"/>
      <c r="K68" s="1" t="str">
        <f ca="1">IFERROR(__xludf.DUMMYFUNCTION("""COMPUTED_VALUE"""),"Mansoura University")</f>
        <v>Mansoura University</v>
      </c>
      <c r="L68" s="1"/>
      <c r="M68" s="1" t="str">
        <f ca="1">IFERROR(__xludf.DUMMYFUNCTION("""COMPUTED_VALUE"""),"Faculty of Computer &amp; Information Science")</f>
        <v>Faculty of Computer &amp; Information Science</v>
      </c>
      <c r="N68" s="1"/>
      <c r="O68" s="1" t="str">
        <f ca="1">IFERROR(__xludf.DUMMYFUNCTION("""COMPUTED_VALUE"""),"2nd Year")</f>
        <v>2nd Year</v>
      </c>
      <c r="R68" s="1" t="s">
        <v>227</v>
      </c>
      <c r="S68" s="1" t="s">
        <v>173</v>
      </c>
    </row>
    <row r="69" spans="1:19">
      <c r="A69" s="1" t="str">
        <f ca="1">IFERROR(__xludf.DUMMYFUNCTION("""COMPUTED_VALUE"""),"Romisaa Fetouh ")</f>
        <v xml:space="preserve">Romisaa Fetouh </v>
      </c>
      <c r="B69" s="1" t="str">
        <f ca="1">IFERROR(__xludf.DUMMYFUNCTION("""COMPUTED_VALUE"""),"romisaafetouh72@gmail.com")</f>
        <v>romisaafetouh72@gmail.com</v>
      </c>
      <c r="C69" s="1">
        <f ca="1">IFERROR(__xludf.DUMMYFUNCTION("""COMPUTED_VALUE"""),201094907541)</f>
        <v>201094907541</v>
      </c>
      <c r="D69" s="1" t="str">
        <f ca="1">IFERROR(__xludf.DUMMYFUNCTION("""COMPUTED_VALUE"""),"Mansoura ")</f>
        <v xml:space="preserve">Mansoura </v>
      </c>
      <c r="E69" s="12" t="str">
        <f ca="1">IFERROR(__xludf.DUMMYFUNCTION("""COMPUTED_VALUE"""),"https://www.facebook.com/share/15W1utqZqS/")</f>
        <v>https://www.facebook.com/share/15W1utqZqS/</v>
      </c>
      <c r="F69" s="1" t="str">
        <f ca="1">IFERROR(__xludf.DUMMYFUNCTION("""COMPUTED_VALUE"""),"Romisaa Fetouh ")</f>
        <v xml:space="preserve">Romisaa Fetouh </v>
      </c>
      <c r="G69" s="1"/>
      <c r="H69" s="1"/>
      <c r="I69" s="1"/>
      <c r="J69" s="1"/>
      <c r="K69" s="1" t="str">
        <f ca="1">IFERROR(__xludf.DUMMYFUNCTION("""COMPUTED_VALUE"""),"Mansoura University")</f>
        <v>Mansoura University</v>
      </c>
      <c r="L69" s="1"/>
      <c r="M69" s="1" t="str">
        <f ca="1">IFERROR(__xludf.DUMMYFUNCTION("""COMPUTED_VALUE"""),"Faculty of Computer &amp; Information Science")</f>
        <v>Faculty of Computer &amp; Information Science</v>
      </c>
      <c r="N69" s="1"/>
      <c r="O69" s="1" t="str">
        <f ca="1">IFERROR(__xludf.DUMMYFUNCTION("""COMPUTED_VALUE"""),"2nd Year")</f>
        <v>2nd Year</v>
      </c>
      <c r="R69" s="1" t="s">
        <v>228</v>
      </c>
      <c r="S69" s="1" t="s">
        <v>173</v>
      </c>
    </row>
    <row r="70" spans="1:19">
      <c r="A70" s="1" t="str">
        <f ca="1">IFERROR(__xludf.DUMMYFUNCTION("""COMPUTED_VALUE"""),"Mohamed Gamal Khalel ")</f>
        <v xml:space="preserve">Mohamed Gamal Khalel </v>
      </c>
      <c r="B70" s="1" t="str">
        <f ca="1">IFERROR(__xludf.DUMMYFUNCTION("""COMPUTED_VALUE"""),"mohamed01559400107@gmail.com")</f>
        <v>mohamed01559400107@gmail.com</v>
      </c>
      <c r="C70" s="1">
        <f ca="1">IFERROR(__xludf.DUMMYFUNCTION("""COMPUTED_VALUE"""),201559400107)</f>
        <v>201559400107</v>
      </c>
      <c r="D70" s="1" t="str">
        <f ca="1">IFERROR(__xludf.DUMMYFUNCTION("""COMPUTED_VALUE"""),"Talkha - ad dakahliya - Egypt")</f>
        <v>Talkha - ad dakahliya - Egypt</v>
      </c>
      <c r="E70" s="12" t="str">
        <f ca="1">IFERROR(__xludf.DUMMYFUNCTION("""COMPUTED_VALUE"""),"https://www.facebook.com/profile.php?id=100010962244392&amp;mibextid=ZbWKwL")</f>
        <v>https://www.facebook.com/profile.php?id=100010962244392&amp;mibextid=ZbWKwL</v>
      </c>
      <c r="F70" s="1" t="str">
        <f ca="1">IFERROR(__xludf.DUMMYFUNCTION("""COMPUTED_VALUE"""),"mohamedg5046")</f>
        <v>mohamedg5046</v>
      </c>
      <c r="G70" s="12" t="str">
        <f ca="1">IFERROR(__xludf.DUMMYFUNCTION("""COMPUTED_VALUE"""),"https://x.com/prog_mg")</f>
        <v>https://x.com/prog_mg</v>
      </c>
      <c r="H70" s="12" t="str">
        <f ca="1">IFERROR(__xludf.DUMMYFUNCTION("""COMPUTED_VALUE"""),"https://www.linkedin.com/in/%D0%BC%CF%83%D0%BD%CE%B1%D0%BC%D1%94%C9%92-%C9%A2%CE%B1%D0%BC%CE%B1l-a3355731b/overlay/about-this-profile/?lipi=urn%3Ali%3Apage%3Ad_flagship3_profile_view_base%3BdWGQCnViQpS%2FEhAWyv9JVA%3D%3D")</f>
        <v>https://www.linkedin.com/in/%D0%BC%CF%83%D0%BD%CE%B1%D0%BC%D1%94%C9%92-%C9%A2%CE%B1%D0%BC%CE%B1l-a3355731b/overlay/about-this-profile/?lipi=urn%3Ali%3Apage%3Ad_flagship3_profile_view_base%3BdWGQCnViQpS%2FEhAWyv9JVA%3D%3D</v>
      </c>
      <c r="I70" s="12" t="str">
        <f ca="1">IFERROR(__xludf.DUMMYFUNCTION("""COMPUTED_VALUE"""),"https://github.com/mogamal-ui")</f>
        <v>https://github.com/mogamal-ui</v>
      </c>
      <c r="J70" s="1"/>
      <c r="K70" s="1" t="str">
        <f ca="1">IFERROR(__xludf.DUMMYFUNCTION("""COMPUTED_VALUE"""),"Mansoura University")</f>
        <v>Mansoura University</v>
      </c>
      <c r="L70" s="1"/>
      <c r="M70" s="1" t="str">
        <f ca="1">IFERROR(__xludf.DUMMYFUNCTION("""COMPUTED_VALUE"""),"Faculty of Computer &amp; Information Science")</f>
        <v>Faculty of Computer &amp; Information Science</v>
      </c>
      <c r="N70" s="1"/>
      <c r="O70" s="1" t="str">
        <f ca="1">IFERROR(__xludf.DUMMYFUNCTION("""COMPUTED_VALUE"""),"1st Year")</f>
        <v>1st Year</v>
      </c>
      <c r="R70" s="1" t="s">
        <v>28</v>
      </c>
      <c r="S70" s="1" t="s">
        <v>176</v>
      </c>
    </row>
    <row r="71" spans="1:19">
      <c r="A71" s="1" t="str">
        <f ca="1">IFERROR(__xludf.DUMMYFUNCTION("""COMPUTED_VALUE"""),"Youssef Mohammed Ramadan")</f>
        <v>Youssef Mohammed Ramadan</v>
      </c>
      <c r="B71" s="1" t="str">
        <f ca="1">IFERROR(__xludf.DUMMYFUNCTION("""COMPUTED_VALUE"""),"youssefmohammed2093@gmail.com")</f>
        <v>youssefmohammed2093@gmail.com</v>
      </c>
      <c r="C71" s="1">
        <f ca="1">IFERROR(__xludf.DUMMYFUNCTION("""COMPUTED_VALUE"""),201096030194)</f>
        <v>201096030194</v>
      </c>
      <c r="D71" s="1" t="str">
        <f ca="1">IFERROR(__xludf.DUMMYFUNCTION("""COMPUTED_VALUE"""),"Belqas")</f>
        <v>Belqas</v>
      </c>
      <c r="E71" s="12" t="str">
        <f ca="1">IFERROR(__xludf.DUMMYFUNCTION("""COMPUTED_VALUE"""),"https://www.facebook.com/profile.php?id=61552702670893")</f>
        <v>https://www.facebook.com/profile.php?id=61552702670893</v>
      </c>
      <c r="F71" s="1" t="str">
        <f ca="1">IFERROR(__xludf.DUMMYFUNCTION("""COMPUTED_VALUE"""),"youssef_mohammed2093")</f>
        <v>youssef_mohammed2093</v>
      </c>
      <c r="G71" s="1"/>
      <c r="H71" s="12" t="str">
        <f ca="1">IFERROR(__xludf.DUMMYFUNCTION("""COMPUTED_VALUE"""),"https://www.linkedin.com/in/youssef-mohammed-6893a031b/")</f>
        <v>https://www.linkedin.com/in/youssef-mohammed-6893a031b/</v>
      </c>
      <c r="I71" s="12" t="str">
        <f ca="1">IFERROR(__xludf.DUMMYFUNCTION("""COMPUTED_VALUE"""),"https://github.com/YoussefMohammed93")</f>
        <v>https://github.com/YoussefMohammed93</v>
      </c>
      <c r="J71" s="1"/>
      <c r="K71" s="1" t="str">
        <f ca="1">IFERROR(__xludf.DUMMYFUNCTION("""COMPUTED_VALUE"""),"Mansoura University")</f>
        <v>Mansoura University</v>
      </c>
      <c r="L71" s="1"/>
      <c r="M71" s="1" t="str">
        <f ca="1">IFERROR(__xludf.DUMMYFUNCTION("""COMPUTED_VALUE"""),"Faculty of Computer &amp; Information Science")</f>
        <v>Faculty of Computer &amp; Information Science</v>
      </c>
      <c r="N71" s="1"/>
      <c r="O71" s="1" t="str">
        <f ca="1">IFERROR(__xludf.DUMMYFUNCTION("""COMPUTED_VALUE"""),"2nd Year")</f>
        <v>2nd Year</v>
      </c>
      <c r="R71" s="1" t="s">
        <v>229</v>
      </c>
      <c r="S71" s="1" t="s">
        <v>173</v>
      </c>
    </row>
    <row r="72" spans="1:19">
      <c r="A72" s="1" t="str">
        <f ca="1">IFERROR(__xludf.DUMMYFUNCTION("""COMPUTED_VALUE"""),"Marwan Ibrahim Amin")</f>
        <v>Marwan Ibrahim Amin</v>
      </c>
      <c r="B72" s="1" t="str">
        <f ca="1">IFERROR(__xludf.DUMMYFUNCTION("""COMPUTED_VALUE"""),"marwan.ebrahim.amin@gmail.com")</f>
        <v>marwan.ebrahim.amin@gmail.com</v>
      </c>
      <c r="C72" s="1">
        <f ca="1">IFERROR(__xludf.DUMMYFUNCTION("""COMPUTED_VALUE"""),201212549750)</f>
        <v>201212549750</v>
      </c>
      <c r="D72" s="1" t="str">
        <f ca="1">IFERROR(__xludf.DUMMYFUNCTION("""COMPUTED_VALUE"""),"El-Mahalla El-Kubra")</f>
        <v>El-Mahalla El-Kubra</v>
      </c>
      <c r="E72" s="12" t="str">
        <f ca="1">IFERROR(__xludf.DUMMYFUNCTION("""COMPUTED_VALUE"""),"https://www.facebook.com/profile.php?id=100007322474957")</f>
        <v>https://www.facebook.com/profile.php?id=100007322474957</v>
      </c>
      <c r="F72" s="1" t="str">
        <f ca="1">IFERROR(__xludf.DUMMYFUNCTION("""COMPUTED_VALUE"""),"marwan__amin")</f>
        <v>marwan__amin</v>
      </c>
      <c r="G72" s="1"/>
      <c r="H72" s="1"/>
      <c r="I72" s="1"/>
      <c r="J72" s="1"/>
      <c r="K72" s="1" t="str">
        <f ca="1">IFERROR(__xludf.DUMMYFUNCTION("""COMPUTED_VALUE"""),"Mansoura University")</f>
        <v>Mansoura University</v>
      </c>
      <c r="L72" s="1"/>
      <c r="M72" s="1" t="str">
        <f ca="1">IFERROR(__xludf.DUMMYFUNCTION("""COMPUTED_VALUE"""),"Faculty of Computer &amp; Information Science")</f>
        <v>Faculty of Computer &amp; Information Science</v>
      </c>
      <c r="N72" s="1"/>
      <c r="O72" s="1" t="str">
        <f ca="1">IFERROR(__xludf.DUMMYFUNCTION("""COMPUTED_VALUE"""),"2nd Year")</f>
        <v>2nd Year</v>
      </c>
      <c r="R72" s="1" t="s">
        <v>230</v>
      </c>
      <c r="S72" s="1" t="s">
        <v>173</v>
      </c>
    </row>
    <row r="73" spans="1:19">
      <c r="A73" s="1" t="str">
        <f ca="1">IFERROR(__xludf.DUMMYFUNCTION("""COMPUTED_VALUE"""),"Fares Maaty")</f>
        <v>Fares Maaty</v>
      </c>
      <c r="B73" s="1" t="str">
        <f ca="1">IFERROR(__xludf.DUMMYFUNCTION("""COMPUTED_VALUE"""),"fmaaty@std.mans.edu.eg")</f>
        <v>fmaaty@std.mans.edu.eg</v>
      </c>
      <c r="C73" s="1">
        <f ca="1">IFERROR(__xludf.DUMMYFUNCTION("""COMPUTED_VALUE"""),201029734451)</f>
        <v>201029734451</v>
      </c>
      <c r="D73" s="1" t="str">
        <f ca="1">IFERROR(__xludf.DUMMYFUNCTION("""COMPUTED_VALUE"""),"Mansoura")</f>
        <v>Mansoura</v>
      </c>
      <c r="E73" s="12" t="str">
        <f ca="1">IFERROR(__xludf.DUMMYFUNCTION("""COMPUTED_VALUE"""),"https://www.facebook.com/fares.maaty.1")</f>
        <v>https://www.facebook.com/fares.maaty.1</v>
      </c>
      <c r="F73" s="1" t="str">
        <f ca="1">IFERROR(__xludf.DUMMYFUNCTION("""COMPUTED_VALUE"""),"fares02087")</f>
        <v>fares02087</v>
      </c>
      <c r="G73" s="12" t="str">
        <f ca="1">IFERROR(__xludf.DUMMYFUNCTION("""COMPUTED_VALUE"""),"https://x.com/fares_maaty")</f>
        <v>https://x.com/fares_maaty</v>
      </c>
      <c r="H73" s="12" t="str">
        <f ca="1">IFERROR(__xludf.DUMMYFUNCTION("""COMPUTED_VALUE"""),"https://www.linkedin.com/in/fares-maaty-289a46296?utm_source=share&amp;utm_campaign=share_via&amp;utm_content=profile&amp;utm_medium=android_app")</f>
        <v>https://www.linkedin.com/in/fares-maaty-289a46296?utm_source=share&amp;utm_campaign=share_via&amp;utm_content=profile&amp;utm_medium=android_app</v>
      </c>
      <c r="I73" s="1"/>
      <c r="J73" s="1"/>
      <c r="K73" s="1" t="str">
        <f ca="1">IFERROR(__xludf.DUMMYFUNCTION("""COMPUTED_VALUE"""),"Mansoura University")</f>
        <v>Mansoura University</v>
      </c>
      <c r="L73" s="1"/>
      <c r="M73" s="1" t="str">
        <f ca="1">IFERROR(__xludf.DUMMYFUNCTION("""COMPUTED_VALUE"""),"Faculty of Computer &amp; Information Science")</f>
        <v>Faculty of Computer &amp; Information Science</v>
      </c>
      <c r="N73" s="1"/>
      <c r="O73" s="1" t="str">
        <f ca="1">IFERROR(__xludf.DUMMYFUNCTION("""COMPUTED_VALUE"""),"2nd Year")</f>
        <v>2nd Year</v>
      </c>
      <c r="R73" s="1" t="s">
        <v>231</v>
      </c>
      <c r="S73" s="1" t="s">
        <v>173</v>
      </c>
    </row>
    <row r="74" spans="1:19">
      <c r="A74" s="1" t="str">
        <f ca="1">IFERROR(__xludf.DUMMYFUNCTION("""COMPUTED_VALUE"""),"Fares Ayman Abdullah Hegazy ")</f>
        <v xml:space="preserve">Fares Ayman Abdullah Hegazy </v>
      </c>
      <c r="B74" s="1" t="str">
        <f ca="1">IFERROR(__xludf.DUMMYFUNCTION("""COMPUTED_VALUE"""),"fareshe73@gmail.com")</f>
        <v>fareshe73@gmail.com</v>
      </c>
      <c r="C74" s="1">
        <f ca="1">IFERROR(__xludf.DUMMYFUNCTION("""COMPUTED_VALUE"""),201065263838)</f>
        <v>201065263838</v>
      </c>
      <c r="D74" s="1" t="str">
        <f ca="1">IFERROR(__xludf.DUMMYFUNCTION("""COMPUTED_VALUE"""),"El Mahalla")</f>
        <v>El Mahalla</v>
      </c>
      <c r="E74" s="12" t="str">
        <f ca="1">IFERROR(__xludf.DUMMYFUNCTION("""COMPUTED_VALUE"""),"https://www.facebook.com/profile.php?id=100013319706304")</f>
        <v>https://www.facebook.com/profile.php?id=100013319706304</v>
      </c>
      <c r="F74" s="1" t="str">
        <f ca="1">IFERROR(__xludf.DUMMYFUNCTION("""COMPUTED_VALUE"""),"fares_ayman.1")</f>
        <v>fares_ayman.1</v>
      </c>
      <c r="G74" s="1"/>
      <c r="H74" s="12" t="str">
        <f ca="1">IFERROR(__xludf.DUMMYFUNCTION("""COMPUTED_VALUE"""),"www.linkedin.com/in/fares-ayman-a213552b2")</f>
        <v>www.linkedin.com/in/fares-ayman-a213552b2</v>
      </c>
      <c r="I74" s="12" t="str">
        <f ca="1">IFERROR(__xludf.DUMMYFUNCTION("""COMPUTED_VALUE"""),"https://github.com/faresayma")</f>
        <v>https://github.com/faresayma</v>
      </c>
      <c r="J74" s="1"/>
      <c r="K74" s="1" t="str">
        <f ca="1">IFERROR(__xludf.DUMMYFUNCTION("""COMPUTED_VALUE"""),"Mansoura University")</f>
        <v>Mansoura University</v>
      </c>
      <c r="L74" s="1"/>
      <c r="M74" s="1" t="str">
        <f ca="1">IFERROR(__xludf.DUMMYFUNCTION("""COMPUTED_VALUE"""),"Faculty of Computer &amp; Information Science")</f>
        <v>Faculty of Computer &amp; Information Science</v>
      </c>
      <c r="N74" s="1"/>
      <c r="O74" s="1" t="str">
        <f ca="1">IFERROR(__xludf.DUMMYFUNCTION("""COMPUTED_VALUE"""),"2nd Year")</f>
        <v>2nd Year</v>
      </c>
      <c r="R74" s="1" t="s">
        <v>232</v>
      </c>
      <c r="S74" s="1" t="s">
        <v>173</v>
      </c>
    </row>
    <row r="75" spans="1:19">
      <c r="A75" s="1" t="str">
        <f ca="1">IFERROR(__xludf.DUMMYFUNCTION("""COMPUTED_VALUE"""),"Yasmin Hussein hassan")</f>
        <v>Yasmin Hussein hassan</v>
      </c>
      <c r="B75" s="1" t="str">
        <f ca="1">IFERROR(__xludf.DUMMYFUNCTION("""COMPUTED_VALUE"""),"yasminhussein270@gmail.com")</f>
        <v>yasminhussein270@gmail.com</v>
      </c>
      <c r="C75" s="1">
        <f ca="1">IFERROR(__xludf.DUMMYFUNCTION("""COMPUTED_VALUE"""),201050445599)</f>
        <v>201050445599</v>
      </c>
      <c r="D75" s="1" t="str">
        <f ca="1">IFERROR(__xludf.DUMMYFUNCTION("""COMPUTED_VALUE"""),"نبروه المنصوره ")</f>
        <v xml:space="preserve">نبروه المنصوره </v>
      </c>
      <c r="E75" s="12" t="str">
        <f ca="1">IFERROR(__xludf.DUMMYFUNCTION("""COMPUTED_VALUE"""),"https://www.facebook.com/yasmin.hussein.3745?mibextid=ZbWKwL")</f>
        <v>https://www.facebook.com/yasmin.hussein.3745?mibextid=ZbWKwL</v>
      </c>
      <c r="F75" s="1" t="str">
        <f ca="1">IFERROR(__xludf.DUMMYFUNCTION("""COMPUTED_VALUE"""),"yasminhussein0337_95516")</f>
        <v>yasminhussein0337_95516</v>
      </c>
      <c r="G75" s="12" t="str">
        <f ca="1">IFERROR(__xludf.DUMMYFUNCTION("""COMPUTED_VALUE"""),"https://x.com/YasminH47766234?t=tIDbdasvaOV7kbZE2NLBbA&amp;s=09")</f>
        <v>https://x.com/YasminH47766234?t=tIDbdasvaOV7kbZE2NLBbA&amp;s=09</v>
      </c>
      <c r="H75" s="12" t="str">
        <f ca="1">IFERROR(__xludf.DUMMYFUNCTION("""COMPUTED_VALUE"""),"https://www.linkedin.com/in/yasmin-hussein-aa4a89332?utm_source=share&amp;utm_campaign=share_via&amp;utm_content=profile&amp;utm_medium=android_app")</f>
        <v>https://www.linkedin.com/in/yasmin-hussein-aa4a89332?utm_source=share&amp;utm_campaign=share_via&amp;utm_content=profile&amp;utm_medium=android_app</v>
      </c>
      <c r="I75" s="12" t="str">
        <f ca="1">IFERROR(__xludf.DUMMYFUNCTION("""COMPUTED_VALUE"""),"https://github.com/Yasminhussein80")</f>
        <v>https://github.com/Yasminhussein80</v>
      </c>
      <c r="J75" s="12" t="str">
        <f ca="1">IFERROR(__xludf.DUMMYFUNCTION("""COMPUTED_VALUE"""),"https://www.behance.net/yasminhussein9")</f>
        <v>https://www.behance.net/yasminhussein9</v>
      </c>
      <c r="K75" s="1" t="str">
        <f ca="1">IFERROR(__xludf.DUMMYFUNCTION("""COMPUTED_VALUE"""),"Mansoura University")</f>
        <v>Mansoura University</v>
      </c>
      <c r="L75" s="1"/>
      <c r="M75" s="1" t="str">
        <f ca="1">IFERROR(__xludf.DUMMYFUNCTION("""COMPUTED_VALUE"""),"Faculty of Computer &amp; Information Science")</f>
        <v>Faculty of Computer &amp; Information Science</v>
      </c>
      <c r="N75" s="1"/>
      <c r="O75" s="1" t="str">
        <f ca="1">IFERROR(__xludf.DUMMYFUNCTION("""COMPUTED_VALUE"""),"2nd Year")</f>
        <v>2nd Year</v>
      </c>
      <c r="R75" s="1" t="s">
        <v>233</v>
      </c>
      <c r="S75" s="1" t="s">
        <v>173</v>
      </c>
    </row>
    <row r="76" spans="1:19">
      <c r="A76" s="1" t="str">
        <f ca="1">IFERROR(__xludf.DUMMYFUNCTION("""COMPUTED_VALUE"""),"شرين محمد عبدالرحمن عبده")</f>
        <v>شرين محمد عبدالرحمن عبده</v>
      </c>
      <c r="B76" s="1" t="str">
        <f ca="1">IFERROR(__xludf.DUMMYFUNCTION("""COMPUTED_VALUE"""),"mshireen625@gmail.com")</f>
        <v>mshireen625@gmail.com</v>
      </c>
      <c r="C76" s="1">
        <f ca="1">IFERROR(__xludf.DUMMYFUNCTION("""COMPUTED_VALUE"""),201063541594)</f>
        <v>201063541594</v>
      </c>
      <c r="D76" s="1" t="str">
        <f ca="1">IFERROR(__xludf.DUMMYFUNCTION("""COMPUTED_VALUE""")," mansoura")</f>
        <v xml:space="preserve"> mansoura</v>
      </c>
      <c r="E76" s="12" t="str">
        <f ca="1">IFERROR(__xludf.DUMMYFUNCTION("""COMPUTED_VALUE"""),"https://www.facebook.com/shireen.mohamed.944?mibextid=JRoKGi")</f>
        <v>https://www.facebook.com/shireen.mohamed.944?mibextid=JRoKGi</v>
      </c>
      <c r="F76" s="12" t="str">
        <f ca="1">IFERROR(__xludf.DUMMYFUNCTION("""COMPUTED_VALUE"""),"https://support.discord.com/hc/en-us/community/topics")</f>
        <v>https://support.discord.com/hc/en-us/community/topics</v>
      </c>
      <c r="G76" s="1"/>
      <c r="H76" s="1"/>
      <c r="I76" s="1"/>
      <c r="J76" s="1"/>
      <c r="K76" s="1" t="str">
        <f ca="1">IFERROR(__xludf.DUMMYFUNCTION("""COMPUTED_VALUE"""),"Mansoura University")</f>
        <v>Mansoura University</v>
      </c>
      <c r="L76" s="1"/>
      <c r="M76" s="1" t="str">
        <f ca="1">IFERROR(__xludf.DUMMYFUNCTION("""COMPUTED_VALUE"""),"Faculty of Computer &amp; Information Science")</f>
        <v>Faculty of Computer &amp; Information Science</v>
      </c>
      <c r="N76" s="1"/>
      <c r="O76" s="1" t="str">
        <f ca="1">IFERROR(__xludf.DUMMYFUNCTION("""COMPUTED_VALUE"""),"2nd Year")</f>
        <v>2nd Year</v>
      </c>
      <c r="R76" s="1" t="s">
        <v>234</v>
      </c>
      <c r="S76" s="1" t="s">
        <v>173</v>
      </c>
    </row>
    <row r="77" spans="1:19">
      <c r="A77" s="1" t="str">
        <f ca="1">IFERROR(__xludf.DUMMYFUNCTION("""COMPUTED_VALUE"""),"Yousra Nader Ahmed")</f>
        <v>Yousra Nader Ahmed</v>
      </c>
      <c r="B77" s="1" t="str">
        <f ca="1">IFERROR(__xludf.DUMMYFUNCTION("""COMPUTED_VALUE"""),"naderyousra0@gmail.com")</f>
        <v>naderyousra0@gmail.com</v>
      </c>
      <c r="C77" s="1">
        <f ca="1">IFERROR(__xludf.DUMMYFUNCTION("""COMPUTED_VALUE"""),201060999670)</f>
        <v>201060999670</v>
      </c>
      <c r="D77" s="1" t="str">
        <f ca="1">IFERROR(__xludf.DUMMYFUNCTION("""COMPUTED_VALUE""")," بلقاس")</f>
        <v xml:space="preserve"> بلقاس</v>
      </c>
      <c r="E77" s="12" t="str">
        <f ca="1">IFERROR(__xludf.DUMMYFUNCTION("""COMPUTED_VALUE"""),"https://www.facebook.com/share/1Cuvk22cQ9/")</f>
        <v>https://www.facebook.com/share/1Cuvk22cQ9/</v>
      </c>
      <c r="F77" s="1" t="str">
        <f ca="1">IFERROR(__xludf.DUMMYFUNCTION("""COMPUTED_VALUE"""),"yousra0859")</f>
        <v>yousra0859</v>
      </c>
      <c r="G77" s="12" t="str">
        <f ca="1">IFERROR(__xludf.DUMMYFUNCTION("""COMPUTED_VALUE"""),"https://x.com/NaderYousr23509?t=wxOciGaa6QZEjff7HCn8IA&amp;s=08")</f>
        <v>https://x.com/NaderYousr23509?t=wxOciGaa6QZEjff7HCn8IA&amp;s=08</v>
      </c>
      <c r="H77" s="12" t="str">
        <f ca="1">IFERROR(__xludf.DUMMYFUNCTION("""COMPUTED_VALUE"""),"https://www.linkedin.com/in/yousra-nader-5b4557318?utm_source=share&amp;utm_campaign=share_via&amp;utm_content=profile&amp;utm_medium=android_app")</f>
        <v>https://www.linkedin.com/in/yousra-nader-5b4557318?utm_source=share&amp;utm_campaign=share_via&amp;utm_content=profile&amp;utm_medium=android_app</v>
      </c>
      <c r="I77" s="12" t="str">
        <f ca="1">IFERROR(__xludf.DUMMYFUNCTION("""COMPUTED_VALUE"""),"https://github.com/yousra137")</f>
        <v>https://github.com/yousra137</v>
      </c>
      <c r="J77" s="12" t="str">
        <f ca="1">IFERROR(__xludf.DUMMYFUNCTION("""COMPUTED_VALUE"""),"https://www.behance.net/yousranader")</f>
        <v>https://www.behance.net/yousranader</v>
      </c>
      <c r="K77" s="1" t="str">
        <f ca="1">IFERROR(__xludf.DUMMYFUNCTION("""COMPUTED_VALUE"""),"Mansoura University")</f>
        <v>Mansoura University</v>
      </c>
      <c r="L77" s="1"/>
      <c r="M77" s="1" t="str">
        <f ca="1">IFERROR(__xludf.DUMMYFUNCTION("""COMPUTED_VALUE"""),"Faculty of Computer &amp; Information Science")</f>
        <v>Faculty of Computer &amp; Information Science</v>
      </c>
      <c r="N77" s="1"/>
      <c r="O77" s="1" t="str">
        <f ca="1">IFERROR(__xludf.DUMMYFUNCTION("""COMPUTED_VALUE"""),"2nd Year")</f>
        <v>2nd Year</v>
      </c>
      <c r="R77" s="1" t="s">
        <v>235</v>
      </c>
      <c r="S77" s="1" t="s">
        <v>173</v>
      </c>
    </row>
    <row r="78" spans="1:19">
      <c r="A78" s="1" t="str">
        <f ca="1">IFERROR(__xludf.DUMMYFUNCTION("""COMPUTED_VALUE"""),"Noorhan Essam Mohammedeen ")</f>
        <v xml:space="preserve">Noorhan Essam Mohammedeen </v>
      </c>
      <c r="B78" s="1" t="str">
        <f ca="1">IFERROR(__xludf.DUMMYFUNCTION("""COMPUTED_VALUE"""),"noore6450@gmail.com")</f>
        <v>noore6450@gmail.com</v>
      </c>
      <c r="C78" s="1">
        <f ca="1">IFERROR(__xludf.DUMMYFUNCTION("""COMPUTED_VALUE"""),201027398848)</f>
        <v>201027398848</v>
      </c>
      <c r="D78" s="1" t="str">
        <f ca="1">IFERROR(__xludf.DUMMYFUNCTION("""COMPUTED_VALUE"""),"المنصورة طناح ")</f>
        <v xml:space="preserve">المنصورة طناح </v>
      </c>
      <c r="E78" s="12" t="str">
        <f ca="1">IFERROR(__xludf.DUMMYFUNCTION("""COMPUTED_VALUE"""),"https://www.facebook.com/profile.php?id=100017036108807&amp;mibextid=ZbWKwL")</f>
        <v>https://www.facebook.com/profile.php?id=100017036108807&amp;mibextid=ZbWKwL</v>
      </c>
      <c r="F78" s="1" t="str">
        <f ca="1">IFERROR(__xludf.DUMMYFUNCTION("""COMPUTED_VALUE"""),"noor080497")</f>
        <v>noor080497</v>
      </c>
      <c r="G78" s="12" t="str">
        <f ca="1">IFERROR(__xludf.DUMMYFUNCTION("""COMPUTED_VALUE"""),"https://x.com/EssamNoorr26507?t=jKwWMlx7Lv58NIpGyVjKEw&amp;s=09")</f>
        <v>https://x.com/EssamNoorr26507?t=jKwWMlx7Lv58NIpGyVjKEw&amp;s=09</v>
      </c>
      <c r="H78" s="12" t="str">
        <f ca="1">IFERROR(__xludf.DUMMYFUNCTION("""COMPUTED_VALUE"""),"https://www.linkedin.com/in/noor-essam-6b554932a?utm_source=share&amp;utm_campaign=share_via&amp;utm_content=profile&amp;utm_medium=android_app")</f>
        <v>https://www.linkedin.com/in/noor-essam-6b554932a?utm_source=share&amp;utm_campaign=share_via&amp;utm_content=profile&amp;utm_medium=android_app</v>
      </c>
      <c r="I78" s="12" t="str">
        <f ca="1">IFERROR(__xludf.DUMMYFUNCTION("""COMPUTED_VALUE"""),"https://github.com/Noor-cmd-star")</f>
        <v>https://github.com/Noor-cmd-star</v>
      </c>
      <c r="J78" s="12" t="str">
        <f ca="1">IFERROR(__xludf.DUMMYFUNCTION("""COMPUTED_VALUE"""),"https://www.behance.net/nooressam6")</f>
        <v>https://www.behance.net/nooressam6</v>
      </c>
      <c r="K78" s="1" t="str">
        <f ca="1">IFERROR(__xludf.DUMMYFUNCTION("""COMPUTED_VALUE"""),"Mansoura University")</f>
        <v>Mansoura University</v>
      </c>
      <c r="L78" s="1"/>
      <c r="M78" s="1" t="str">
        <f ca="1">IFERROR(__xludf.DUMMYFUNCTION("""COMPUTED_VALUE"""),"Faculty of Computer &amp; Information Science")</f>
        <v>Faculty of Computer &amp; Information Science</v>
      </c>
      <c r="N78" s="1"/>
      <c r="O78" s="1" t="str">
        <f ca="1">IFERROR(__xludf.DUMMYFUNCTION("""COMPUTED_VALUE"""),"2nd Year")</f>
        <v>2nd Year</v>
      </c>
      <c r="R78" s="1" t="s">
        <v>236</v>
      </c>
      <c r="S78" s="1" t="s">
        <v>173</v>
      </c>
    </row>
    <row r="79" spans="1:19">
      <c r="A79" s="1" t="str">
        <f ca="1">IFERROR(__xludf.DUMMYFUNCTION("""COMPUTED_VALUE"""),"Mohamed Hisham ElMenshawi")</f>
        <v>Mohamed Hisham ElMenshawi</v>
      </c>
      <c r="B79" s="1" t="str">
        <f ca="1">IFERROR(__xludf.DUMMYFUNCTION("""COMPUTED_VALUE"""),"mohamedelmenshawi@std.mans.edu.eg")</f>
        <v>mohamedelmenshawi@std.mans.edu.eg</v>
      </c>
      <c r="C79" s="1">
        <f ca="1">IFERROR(__xludf.DUMMYFUNCTION("""COMPUTED_VALUE"""),201014128799)</f>
        <v>201014128799</v>
      </c>
      <c r="D79" s="1" t="str">
        <f ca="1">IFERROR(__xludf.DUMMYFUNCTION("""COMPUTED_VALUE"""),"Talkha - Salah Salem St.")</f>
        <v>Talkha - Salah Salem St.</v>
      </c>
      <c r="E79" s="12" t="str">
        <f ca="1">IFERROR(__xludf.DUMMYFUNCTION("""COMPUTED_VALUE"""),"https://www.facebook.com/IIMenshawz")</f>
        <v>https://www.facebook.com/IIMenshawz</v>
      </c>
      <c r="F79" s="1" t="str">
        <f ca="1">IFERROR(__xludf.DUMMYFUNCTION("""COMPUTED_VALUE"""),"iimenshawi")</f>
        <v>iimenshawi</v>
      </c>
      <c r="G79" s="12" t="str">
        <f ca="1">IFERROR(__xludf.DUMMYFUNCTION("""COMPUTED_VALUE"""),"https://x.com/iiMenshawi")</f>
        <v>https://x.com/iiMenshawi</v>
      </c>
      <c r="H79" s="12" t="str">
        <f ca="1">IFERROR(__xludf.DUMMYFUNCTION("""COMPUTED_VALUE"""),"https://www.linkedin.com/in/mohamed-el-menshawi-6b2a2928b/")</f>
        <v>https://www.linkedin.com/in/mohamed-el-menshawi-6b2a2928b/</v>
      </c>
      <c r="I79" s="12" t="str">
        <f ca="1">IFERROR(__xludf.DUMMYFUNCTION("""COMPUTED_VALUE"""),"https://github.com/IIMenshawz")</f>
        <v>https://github.com/IIMenshawz</v>
      </c>
      <c r="J79" s="12" t="str">
        <f ca="1">IFERROR(__xludf.DUMMYFUNCTION("""COMPUTED_VALUE"""),"https://www.behance.net/ii_menshawz")</f>
        <v>https://www.behance.net/ii_menshawz</v>
      </c>
      <c r="K79" s="1" t="str">
        <f ca="1">IFERROR(__xludf.DUMMYFUNCTION("""COMPUTED_VALUE"""),"Mansoura University")</f>
        <v>Mansoura University</v>
      </c>
      <c r="L79" s="1"/>
      <c r="M79" s="1" t="str">
        <f ca="1">IFERROR(__xludf.DUMMYFUNCTION("""COMPUTED_VALUE"""),"Faculty of Computer &amp; Information Science")</f>
        <v>Faculty of Computer &amp; Information Science</v>
      </c>
      <c r="N79" s="1"/>
      <c r="O79" s="1" t="str">
        <f ca="1">IFERROR(__xludf.DUMMYFUNCTION("""COMPUTED_VALUE"""),"2nd Year")</f>
        <v>2nd Year</v>
      </c>
      <c r="R79" s="1" t="s">
        <v>237</v>
      </c>
      <c r="S79" s="1" t="s">
        <v>173</v>
      </c>
    </row>
    <row r="80" spans="1:19">
      <c r="A80" s="1" t="str">
        <f ca="1">IFERROR(__xludf.DUMMYFUNCTION("""COMPUTED_VALUE"""),"رضا سعد عطيه")</f>
        <v>رضا سعد عطيه</v>
      </c>
      <c r="B80" s="1" t="str">
        <f ca="1">IFERROR(__xludf.DUMMYFUNCTION("""COMPUTED_VALUE"""),"redasaad010260@gmail.com")</f>
        <v>redasaad010260@gmail.com</v>
      </c>
      <c r="C80" s="1">
        <f ca="1">IFERROR(__xludf.DUMMYFUNCTION("""COMPUTED_VALUE"""),201026014296)</f>
        <v>201026014296</v>
      </c>
      <c r="D80" s="1" t="str">
        <f ca="1">IFERROR(__xludf.DUMMYFUNCTION("""COMPUTED_VALUE"""),"talka")</f>
        <v>talka</v>
      </c>
      <c r="E80" s="12" t="str">
        <f ca="1">IFERROR(__xludf.DUMMYFUNCTION("""COMPUTED_VALUE"""),"https://www.facebook.com/profile.php?viewas=100000686899395&amp;id=100008977024211")</f>
        <v>https://www.facebook.com/profile.php?viewas=100000686899395&amp;id=100008977024211</v>
      </c>
      <c r="F80" s="1" t="str">
        <f ca="1">IFERROR(__xludf.DUMMYFUNCTION("""COMPUTED_VALUE"""),"redasaad0272")</f>
        <v>redasaad0272</v>
      </c>
      <c r="G80" s="12" t="str">
        <f ca="1">IFERROR(__xludf.DUMMYFUNCTION("""COMPUTED_VALUE"""),"https://x.com/home?lang=en")</f>
        <v>https://x.com/home?lang=en</v>
      </c>
      <c r="H80" s="12" t="str">
        <f ca="1">IFERROR(__xludf.DUMMYFUNCTION("""COMPUTED_VALUE"""),"https://www.linkedin.com/in/reda-saad-570683269/")</f>
        <v>https://www.linkedin.com/in/reda-saad-570683269/</v>
      </c>
      <c r="I80" s="12" t="str">
        <f ca="1">IFERROR(__xludf.DUMMYFUNCTION("""COMPUTED_VALUE"""),"https://github.com/redasaad123")</f>
        <v>https://github.com/redasaad123</v>
      </c>
      <c r="J80" s="12" t="str">
        <f ca="1">IFERROR(__xludf.DUMMYFUNCTION("""COMPUTED_VALUE"""),"https://www.behance.net/redesaad")</f>
        <v>https://www.behance.net/redesaad</v>
      </c>
      <c r="K80" s="1" t="str">
        <f ca="1">IFERROR(__xludf.DUMMYFUNCTION("""COMPUTED_VALUE"""),"Mansoura University")</f>
        <v>Mansoura University</v>
      </c>
      <c r="L80" s="1"/>
      <c r="M80" s="1" t="str">
        <f ca="1">IFERROR(__xludf.DUMMYFUNCTION("""COMPUTED_VALUE"""),"Faculty of Computer &amp; Information Science")</f>
        <v>Faculty of Computer &amp; Information Science</v>
      </c>
      <c r="N80" s="1"/>
      <c r="O80" s="1" t="str">
        <f ca="1">IFERROR(__xludf.DUMMYFUNCTION("""COMPUTED_VALUE"""),"3rd Year")</f>
        <v>3rd Year</v>
      </c>
      <c r="R80" s="1" t="s">
        <v>59</v>
      </c>
      <c r="S80" s="1" t="s">
        <v>170</v>
      </c>
    </row>
    <row r="81" spans="1:19">
      <c r="A81" s="1" t="str">
        <f ca="1">IFERROR(__xludf.DUMMYFUNCTION("""COMPUTED_VALUE"""),"Mohmed Ahmed ElDeeb")</f>
        <v>Mohmed Ahmed ElDeeb</v>
      </c>
      <c r="B81" s="1" t="str">
        <f ca="1">IFERROR(__xludf.DUMMYFUNCTION("""COMPUTED_VALUE"""),"mo.eldeeb7878@gmail.com")</f>
        <v>mo.eldeeb7878@gmail.com</v>
      </c>
      <c r="C81" s="1">
        <f ca="1">IFERROR(__xludf.DUMMYFUNCTION("""COMPUTED_VALUE"""),201508147930)</f>
        <v>201508147930</v>
      </c>
      <c r="D81" s="1" t="str">
        <f ca="1">IFERROR(__xludf.DUMMYFUNCTION("""COMPUTED_VALUE"""),"الدقهلية , المنصورة")</f>
        <v>الدقهلية , المنصورة</v>
      </c>
      <c r="E81" s="12" t="str">
        <f ca="1">IFERROR(__xludf.DUMMYFUNCTION("""COMPUTED_VALUE"""),"https://www.facebook.com/profile.php?id=61558184180247")</f>
        <v>https://www.facebook.com/profile.php?id=61558184180247</v>
      </c>
      <c r="F81" s="1" t="str">
        <f ca="1">IFERROR(__xludf.DUMMYFUNCTION("""COMPUTED_VALUE"""),"deeyaab")</f>
        <v>deeyaab</v>
      </c>
      <c r="G81" s="1"/>
      <c r="H81" s="12" t="str">
        <f ca="1">IFERROR(__xludf.DUMMYFUNCTION("""COMPUTED_VALUE"""),"https://www.linkedin.com/in/mohamed-eldeeb-a24676293/")</f>
        <v>https://www.linkedin.com/in/mohamed-eldeeb-a24676293/</v>
      </c>
      <c r="I81" s="1"/>
      <c r="J81" s="1"/>
      <c r="K81" s="1" t="str">
        <f ca="1">IFERROR(__xludf.DUMMYFUNCTION("""COMPUTED_VALUE"""),"Mansoura University")</f>
        <v>Mansoura University</v>
      </c>
      <c r="L81" s="1"/>
      <c r="M81" s="1" t="str">
        <f ca="1">IFERROR(__xludf.DUMMYFUNCTION("""COMPUTED_VALUE"""),"Faculty of Computer &amp; Information Science")</f>
        <v>Faculty of Computer &amp; Information Science</v>
      </c>
      <c r="N81" s="1"/>
      <c r="O81" s="1" t="str">
        <f ca="1">IFERROR(__xludf.DUMMYFUNCTION("""COMPUTED_VALUE"""),"2nd Year")</f>
        <v>2nd Year</v>
      </c>
      <c r="R81" s="1" t="s">
        <v>46</v>
      </c>
      <c r="S81" s="1" t="s">
        <v>173</v>
      </c>
    </row>
    <row r="82" spans="1:19">
      <c r="A82" s="1" t="str">
        <f ca="1">IFERROR(__xludf.DUMMYFUNCTION("""COMPUTED_VALUE"""),"yassin gouda")</f>
        <v>yassin gouda</v>
      </c>
      <c r="B82" s="1" t="str">
        <f ca="1">IFERROR(__xludf.DUMMYFUNCTION("""COMPUTED_VALUE"""),"yassiengouda@gmail.com")</f>
        <v>yassiengouda@gmail.com</v>
      </c>
      <c r="C82" s="1">
        <f ca="1">IFERROR(__xludf.DUMMYFUNCTION("""COMPUTED_VALUE"""),201090294541)</f>
        <v>201090294541</v>
      </c>
      <c r="D82" s="1" t="str">
        <f ca="1">IFERROR(__xludf.DUMMYFUNCTION("""COMPUTED_VALUE"""),"Al Mahalla Al Kobra - Abu Rady")</f>
        <v>Al Mahalla Al Kobra - Abu Rady</v>
      </c>
      <c r="E82" s="12" t="str">
        <f ca="1">IFERROR(__xludf.DUMMYFUNCTION("""COMPUTED_VALUE"""),"https://www.facebook.com/YassinnGouda/")</f>
        <v>https://www.facebook.com/YassinnGouda/</v>
      </c>
      <c r="F82" s="1" t="str">
        <f ca="1">IFERROR(__xludf.DUMMYFUNCTION("""COMPUTED_VALUE"""),"425402726302613524")</f>
        <v>425402726302613524</v>
      </c>
      <c r="G82" s="12" t="str">
        <f ca="1">IFERROR(__xludf.DUMMYFUNCTION("""COMPUTED_VALUE"""),"https://x.com/yassin_gouda")</f>
        <v>https://x.com/yassin_gouda</v>
      </c>
      <c r="H82" s="12" t="str">
        <f ca="1">IFERROR(__xludf.DUMMYFUNCTION("""COMPUTED_VALUE"""),"https://www.linkedin.com/in/yassin-gouda-92a5b1306/")</f>
        <v>https://www.linkedin.com/in/yassin-gouda-92a5b1306/</v>
      </c>
      <c r="I82" s="12" t="str">
        <f ca="1">IFERROR(__xludf.DUMMYFUNCTION("""COMPUTED_VALUE"""),"https://github.com/YasinGouda")</f>
        <v>https://github.com/YasinGouda</v>
      </c>
      <c r="J82" s="12" t="str">
        <f ca="1">IFERROR(__xludf.DUMMYFUNCTION("""COMPUTED_VALUE"""),"https://www.behance.net/yassingouda")</f>
        <v>https://www.behance.net/yassingouda</v>
      </c>
      <c r="K82" s="1" t="str">
        <f ca="1">IFERROR(__xludf.DUMMYFUNCTION("""COMPUTED_VALUE"""),"Mansoura University")</f>
        <v>Mansoura University</v>
      </c>
      <c r="L82" s="1"/>
      <c r="M82" s="1" t="str">
        <f ca="1">IFERROR(__xludf.DUMMYFUNCTION("""COMPUTED_VALUE"""),"Faculty of Computer &amp; Information Science")</f>
        <v>Faculty of Computer &amp; Information Science</v>
      </c>
      <c r="N82" s="1"/>
      <c r="O82" s="1" t="str">
        <f ca="1">IFERROR(__xludf.DUMMYFUNCTION("""COMPUTED_VALUE"""),"1st Year")</f>
        <v>1st Year</v>
      </c>
      <c r="R82" s="1" t="s">
        <v>238</v>
      </c>
      <c r="S82" s="1" t="s">
        <v>176</v>
      </c>
    </row>
    <row r="83" spans="1:19">
      <c r="A83" s="1" t="str">
        <f ca="1">IFERROR(__xludf.DUMMYFUNCTION("""COMPUTED_VALUE"""),"Rokia Sherif Elsayed Elsayed Elgyar ")</f>
        <v xml:space="preserve">Rokia Sherif Elsayed Elsayed Elgyar </v>
      </c>
      <c r="B83" s="1" t="str">
        <f ca="1">IFERROR(__xludf.DUMMYFUNCTION("""COMPUTED_VALUE"""),"sherifrokia5@gmail.com")</f>
        <v>sherifrokia5@gmail.com</v>
      </c>
      <c r="C83" s="1">
        <f ca="1">IFERROR(__xludf.DUMMYFUNCTION("""COMPUTED_VALUE"""),201028596780)</f>
        <v>201028596780</v>
      </c>
      <c r="D83" s="1" t="str">
        <f ca="1">IFERROR(__xludf.DUMMYFUNCTION("""COMPUTED_VALUE"""),"Mansoura ")</f>
        <v xml:space="preserve">Mansoura </v>
      </c>
      <c r="E83" s="12" t="str">
        <f ca="1">IFERROR(__xludf.DUMMYFUNCTION("""COMPUTED_VALUE"""),"https://www.facebook.com/rokia.elgiar?mibextid=kFxxJD")</f>
        <v>https://www.facebook.com/rokia.elgiar?mibextid=kFxxJD</v>
      </c>
      <c r="F83" s="1" t="str">
        <f ca="1">IFERROR(__xludf.DUMMYFUNCTION("""COMPUTED_VALUE"""),"rokiasherif ")</f>
        <v xml:space="preserve">rokiasherif </v>
      </c>
      <c r="G83" s="1"/>
      <c r="H83" s="1"/>
      <c r="I83" s="1"/>
      <c r="J83" s="1"/>
      <c r="K83" s="1" t="str">
        <f ca="1">IFERROR(__xludf.DUMMYFUNCTION("""COMPUTED_VALUE"""),"Mansoura University")</f>
        <v>Mansoura University</v>
      </c>
      <c r="L83" s="1"/>
      <c r="M83" s="1" t="str">
        <f ca="1">IFERROR(__xludf.DUMMYFUNCTION("""COMPUTED_VALUE"""),"Faculty of Computer &amp; Information Science")</f>
        <v>Faculty of Computer &amp; Information Science</v>
      </c>
      <c r="N83" s="1"/>
      <c r="O83" s="1" t="str">
        <f ca="1">IFERROR(__xludf.DUMMYFUNCTION("""COMPUTED_VALUE"""),"3rd Year")</f>
        <v>3rd Year</v>
      </c>
      <c r="R83" s="1" t="s">
        <v>239</v>
      </c>
      <c r="S83" s="1" t="s">
        <v>170</v>
      </c>
    </row>
    <row r="84" spans="1:19">
      <c r="A84" s="1" t="str">
        <f ca="1">IFERROR(__xludf.DUMMYFUNCTION("""COMPUTED_VALUE"""),"mohammed sameh Elsayid")</f>
        <v>mohammed sameh Elsayid</v>
      </c>
      <c r="B84" s="1" t="str">
        <f ca="1">IFERROR(__xludf.DUMMYFUNCTION("""COMPUTED_VALUE"""),"m123m2222222@gmail.com")</f>
        <v>m123m2222222@gmail.com</v>
      </c>
      <c r="C84" s="1">
        <f ca="1">IFERROR(__xludf.DUMMYFUNCTION("""COMPUTED_VALUE"""),201069078420)</f>
        <v>201069078420</v>
      </c>
      <c r="D84" s="1" t="str">
        <f ca="1">IFERROR(__xludf.DUMMYFUNCTION("""COMPUTED_VALUE"""),"toshka gate / Mansora universty")</f>
        <v>toshka gate / Mansora universty</v>
      </c>
      <c r="E84" s="12" t="str">
        <f ca="1">IFERROR(__xludf.DUMMYFUNCTION("""COMPUTED_VALUE"""),"https://www.facebook.com/profile.php?id=100059549854157&amp;mibextid=ZbWKwL")</f>
        <v>https://www.facebook.com/profile.php?id=100059549854157&amp;mibextid=ZbWKwL</v>
      </c>
      <c r="F84" s="1" t="str">
        <f ca="1">IFERROR(__xludf.DUMMYFUNCTION("""COMPUTED_VALUE"""),"sameh123mo2")</f>
        <v>sameh123mo2</v>
      </c>
      <c r="G84" s="1"/>
      <c r="H84" s="1"/>
      <c r="I84" s="1"/>
      <c r="J84" s="1"/>
      <c r="K84" s="1" t="str">
        <f ca="1">IFERROR(__xludf.DUMMYFUNCTION("""COMPUTED_VALUE"""),"Mansoura University")</f>
        <v>Mansoura University</v>
      </c>
      <c r="L84" s="1"/>
      <c r="M84" s="1" t="str">
        <f ca="1">IFERROR(__xludf.DUMMYFUNCTION("""COMPUTED_VALUE"""),"Faculty of Computer &amp; Information Science")</f>
        <v>Faculty of Computer &amp; Information Science</v>
      </c>
      <c r="N84" s="1"/>
      <c r="O84" s="1" t="str">
        <f ca="1">IFERROR(__xludf.DUMMYFUNCTION("""COMPUTED_VALUE"""),"1st Year")</f>
        <v>1st Year</v>
      </c>
      <c r="R84" s="1" t="s">
        <v>240</v>
      </c>
      <c r="S84" s="1" t="s">
        <v>176</v>
      </c>
    </row>
    <row r="85" spans="1:19">
      <c r="A85" s="1" t="str">
        <f ca="1">IFERROR(__xludf.DUMMYFUNCTION("""COMPUTED_VALUE"""),"Sara Ahmed Nabih ")</f>
        <v xml:space="preserve">Sara Ahmed Nabih </v>
      </c>
      <c r="B85" s="1" t="str">
        <f ca="1">IFERROR(__xludf.DUMMYFUNCTION("""COMPUTED_VALUE"""),"nabihsara8@gmail.com")</f>
        <v>nabihsara8@gmail.com</v>
      </c>
      <c r="C85" s="1">
        <f ca="1">IFERROR(__xludf.DUMMYFUNCTION("""COMPUTED_VALUE"""),201223325396)</f>
        <v>201223325396</v>
      </c>
      <c r="D85" s="1" t="str">
        <f ca="1">IFERROR(__xludf.DUMMYFUNCTION("""COMPUTED_VALUE"""),"Mansoura")</f>
        <v>Mansoura</v>
      </c>
      <c r="E85" s="12" t="str">
        <f ca="1">IFERROR(__xludf.DUMMYFUNCTION("""COMPUTED_VALUE"""),"https://facebook.com/saranabih")</f>
        <v>https://facebook.com/saranabih</v>
      </c>
      <c r="F85" s="1" t="str">
        <f ca="1">IFERROR(__xludf.DUMMYFUNCTION("""COMPUTED_VALUE"""),"saraahmednabih")</f>
        <v>saraahmednabih</v>
      </c>
      <c r="G85" s="12" t="str">
        <f ca="1">IFERROR(__xludf.DUMMYFUNCTION("""COMPUTED_VALUE"""),"https://x.com/saranabih187220")</f>
        <v>https://x.com/saranabih187220</v>
      </c>
      <c r="H85" s="12" t="str">
        <f ca="1">IFERROR(__xludf.DUMMYFUNCTION("""COMPUTED_VALUE"""),"https://www.linkedin.com/in/sara-nabih-4168212a3/")</f>
        <v>https://www.linkedin.com/in/sara-nabih-4168212a3/</v>
      </c>
      <c r="I85" s="12" t="str">
        <f ca="1">IFERROR(__xludf.DUMMYFUNCTION("""COMPUTED_VALUE"""),"https://github.com/saraanbih")</f>
        <v>https://github.com/saraanbih</v>
      </c>
      <c r="J85" s="1"/>
      <c r="K85" s="1" t="str">
        <f ca="1">IFERROR(__xludf.DUMMYFUNCTION("""COMPUTED_VALUE"""),"Mansoura University")</f>
        <v>Mansoura University</v>
      </c>
      <c r="L85" s="1"/>
      <c r="M85" s="1" t="str">
        <f ca="1">IFERROR(__xludf.DUMMYFUNCTION("""COMPUTED_VALUE"""),"Faculty of Computer &amp; Information Science")</f>
        <v>Faculty of Computer &amp; Information Science</v>
      </c>
      <c r="N85" s="1"/>
      <c r="O85" s="1" t="str">
        <f ca="1">IFERROR(__xludf.DUMMYFUNCTION("""COMPUTED_VALUE"""),"2nd Year")</f>
        <v>2nd Year</v>
      </c>
      <c r="R85" s="1" t="s">
        <v>8</v>
      </c>
      <c r="S85" s="1" t="s">
        <v>173</v>
      </c>
    </row>
    <row r="86" spans="1:19">
      <c r="A86" s="1" t="str">
        <f ca="1">IFERROR(__xludf.DUMMYFUNCTION("""COMPUTED_VALUE"""),"Ahmed Adel Ata Ahmed")</f>
        <v>Ahmed Adel Ata Ahmed</v>
      </c>
      <c r="B86" s="1" t="str">
        <f ca="1">IFERROR(__xludf.DUMMYFUNCTION("""COMPUTED_VALUE"""),"rr9567024@gamil.com")</f>
        <v>rr9567024@gamil.com</v>
      </c>
      <c r="C86" s="1">
        <f ca="1">IFERROR(__xludf.DUMMYFUNCTION("""COMPUTED_VALUE"""),201002957725)</f>
        <v>201002957725</v>
      </c>
      <c r="D86" s="1" t="str">
        <f ca="1">IFERROR(__xludf.DUMMYFUNCTION("""COMPUTED_VALUE"""),"mansoura")</f>
        <v>mansoura</v>
      </c>
      <c r="E86" s="12" t="str">
        <f ca="1">IFERROR(__xludf.DUMMYFUNCTION("""COMPUTED_VALUE"""),"https://www.facebook.com/profile.php?id=100094708448335")</f>
        <v>https://www.facebook.com/profile.php?id=100094708448335</v>
      </c>
      <c r="F86" s="1" t="str">
        <f ca="1">IFERROR(__xludf.DUMMYFUNCTION("""COMPUTED_VALUE"""),"ahmedadel0852")</f>
        <v>ahmedadel0852</v>
      </c>
      <c r="G86" s="1"/>
      <c r="H86" s="1"/>
      <c r="I86" s="1"/>
      <c r="J86" s="12" t="str">
        <f ca="1">IFERROR(__xludf.DUMMYFUNCTION("""COMPUTED_VALUE"""),"https://www.behance.net/ahmedadel898")</f>
        <v>https://www.behance.net/ahmedadel898</v>
      </c>
      <c r="K86" s="1" t="str">
        <f ca="1">IFERROR(__xludf.DUMMYFUNCTION("""COMPUTED_VALUE"""),"Mansoura University")</f>
        <v>Mansoura University</v>
      </c>
      <c r="L86" s="1"/>
      <c r="M86" s="1" t="str">
        <f ca="1">IFERROR(__xludf.DUMMYFUNCTION("""COMPUTED_VALUE"""),"Faculty of Science")</f>
        <v>Faculty of Science</v>
      </c>
      <c r="N86" s="1"/>
      <c r="O86" s="1" t="str">
        <f ca="1">IFERROR(__xludf.DUMMYFUNCTION("""COMPUTED_VALUE"""),"2nd Year")</f>
        <v>2nd Year</v>
      </c>
      <c r="R86" s="1" t="s">
        <v>241</v>
      </c>
      <c r="S86" s="1" t="s">
        <v>173</v>
      </c>
    </row>
    <row r="87" spans="1:19">
      <c r="A87" s="1" t="str">
        <f ca="1">IFERROR(__xludf.DUMMYFUNCTION("""COMPUTED_VALUE"""),"Nagat Ali Elbastawise ")</f>
        <v xml:space="preserve">Nagat Ali Elbastawise </v>
      </c>
      <c r="B87" s="1" t="str">
        <f ca="1">IFERROR(__xludf.DUMMYFUNCTION("""COMPUTED_VALUE"""),"nagatelpastawesi@gamail.com")</f>
        <v>nagatelpastawesi@gamail.com</v>
      </c>
      <c r="C87" s="1">
        <f ca="1">IFERROR(__xludf.DUMMYFUNCTION("""COMPUTED_VALUE"""),201221947150)</f>
        <v>201221947150</v>
      </c>
      <c r="D87" s="1" t="str">
        <f ca="1">IFERROR(__xludf.DUMMYFUNCTION("""COMPUTED_VALUE"""),"Elmahla ")</f>
        <v xml:space="preserve">Elmahla </v>
      </c>
      <c r="E87" s="12" t="str">
        <f ca="1">IFERROR(__xludf.DUMMYFUNCTION("""COMPUTED_VALUE"""),"https://www.facebook.com/profile.php?id=100070107522966&amp;mibextid=ZbWKwL")</f>
        <v>https://www.facebook.com/profile.php?id=100070107522966&amp;mibextid=ZbWKwL</v>
      </c>
      <c r="F87" s="1" t="str">
        <f ca="1">IFERROR(__xludf.DUMMYFUNCTION("""COMPUTED_VALUE"""),"nagat_ali_47719")</f>
        <v>nagat_ali_47719</v>
      </c>
      <c r="G87" s="1"/>
      <c r="H87" s="12" t="str">
        <f ca="1">IFERROR(__xludf.DUMMYFUNCTION("""COMPUTED_VALUE"""),"https://www.linkedin.com/in/nagat-elpastawesi-b90320329?utm_source=share&amp;utm_campaign=share_via&amp;utm_content=profile&amp;utm_medium=android_app")</f>
        <v>https://www.linkedin.com/in/nagat-elpastawesi-b90320329?utm_source=share&amp;utm_campaign=share_via&amp;utm_content=profile&amp;utm_medium=android_app</v>
      </c>
      <c r="I87" s="1"/>
      <c r="J87" s="1"/>
      <c r="K87" s="1" t="str">
        <f ca="1">IFERROR(__xludf.DUMMYFUNCTION("""COMPUTED_VALUE"""),"Tanta University")</f>
        <v>Tanta University</v>
      </c>
      <c r="L87" s="1"/>
      <c r="M87" s="1" t="str">
        <f ca="1">IFERROR(__xludf.DUMMYFUNCTION("""COMPUTED_VALUE"""),"Faculty of Computer &amp; Information Science")</f>
        <v>Faculty of Computer &amp; Information Science</v>
      </c>
      <c r="N87" s="1"/>
      <c r="O87" s="1" t="str">
        <f ca="1">IFERROR(__xludf.DUMMYFUNCTION("""COMPUTED_VALUE"""),"2nd Year")</f>
        <v>2nd Year</v>
      </c>
      <c r="R87" s="1" t="s">
        <v>242</v>
      </c>
      <c r="S87" s="1" t="s">
        <v>173</v>
      </c>
    </row>
    <row r="88" spans="1:19">
      <c r="A88" s="1" t="str">
        <f ca="1">IFERROR(__xludf.DUMMYFUNCTION("""COMPUTED_VALUE"""),"mariam ayman hamden")</f>
        <v>mariam ayman hamden</v>
      </c>
      <c r="B88" s="1" t="str">
        <f ca="1">IFERROR(__xludf.DUMMYFUNCTION("""COMPUTED_VALUE"""),"mariamayman292003@gmail.com")</f>
        <v>mariamayman292003@gmail.com</v>
      </c>
      <c r="C88" s="1">
        <f ca="1">IFERROR(__xludf.DUMMYFUNCTION("""COMPUTED_VALUE"""),201020145974)</f>
        <v>201020145974</v>
      </c>
      <c r="D88" s="1" t="str">
        <f ca="1">IFERROR(__xludf.DUMMYFUNCTION("""COMPUTED_VALUE"""),"المنصورة ")</f>
        <v xml:space="preserve">المنصورة </v>
      </c>
      <c r="E88" s="12" t="str">
        <f ca="1">IFERROR(__xludf.DUMMYFUNCTION("""COMPUTED_VALUE"""),"https://www.facebook.com/mariam.ayman.92123/")</f>
        <v>https://www.facebook.com/mariam.ayman.92123/</v>
      </c>
      <c r="F88" s="1" t="str">
        <f ca="1">IFERROR(__xludf.DUMMYFUNCTION("""COMPUTED_VALUE"""),"mariam_aymann")</f>
        <v>mariam_aymann</v>
      </c>
      <c r="G88" s="1"/>
      <c r="H88" s="1"/>
      <c r="I88" s="1"/>
      <c r="J88" s="1"/>
      <c r="K88" s="1" t="str">
        <f ca="1">IFERROR(__xludf.DUMMYFUNCTION("""COMPUTED_VALUE"""),"Mansoura University")</f>
        <v>Mansoura University</v>
      </c>
      <c r="L88" s="1"/>
      <c r="M88" s="1" t="str">
        <f ca="1">IFERROR(__xludf.DUMMYFUNCTION("""COMPUTED_VALUE"""),"Faculty of Computer &amp; Information Science")</f>
        <v>Faculty of Computer &amp; Information Science</v>
      </c>
      <c r="N88" s="1"/>
      <c r="O88" s="1" t="str">
        <f ca="1">IFERROR(__xludf.DUMMYFUNCTION("""COMPUTED_VALUE"""),"3rd Year")</f>
        <v>3rd Year</v>
      </c>
      <c r="R88" s="1" t="s">
        <v>243</v>
      </c>
      <c r="S88" s="1" t="s">
        <v>170</v>
      </c>
    </row>
    <row r="89" spans="1:19">
      <c r="A89" s="1" t="str">
        <f ca="1">IFERROR(__xludf.DUMMYFUNCTION("""COMPUTED_VALUE"""),"Menna Mahmoud Abdrabu")</f>
        <v>Menna Mahmoud Abdrabu</v>
      </c>
      <c r="B89" s="1" t="str">
        <f ca="1">IFERROR(__xludf.DUMMYFUNCTION("""COMPUTED_VALUE"""),"mennasarhan643@gmail.com")</f>
        <v>mennasarhan643@gmail.com</v>
      </c>
      <c r="C89" s="1">
        <f ca="1">IFERROR(__xludf.DUMMYFUNCTION("""COMPUTED_VALUE"""),201061604219)</f>
        <v>201061604219</v>
      </c>
      <c r="D89" s="1" t="str">
        <f ca="1">IFERROR(__xludf.DUMMYFUNCTION("""COMPUTED_VALUE"""),"El_Mansoura")</f>
        <v>El_Mansoura</v>
      </c>
      <c r="E89" s="12" t="str">
        <f ca="1">IFERROR(__xludf.DUMMYFUNCTION("""COMPUTED_VALUE"""),"https://www.facebook.com/menna.sarhan.1656?mibextid=ZbWKwL")</f>
        <v>https://www.facebook.com/menna.sarhan.1656?mibextid=ZbWKwL</v>
      </c>
      <c r="F89" s="1" t="str">
        <f ca="1">IFERROR(__xludf.DUMMYFUNCTION("""COMPUTED_VALUE"""),"mennamahmoud0361")</f>
        <v>mennamahmoud0361</v>
      </c>
      <c r="G89" s="1"/>
      <c r="H89" s="12" t="str">
        <f ca="1">IFERROR(__xludf.DUMMYFUNCTION("""COMPUTED_VALUE"""),"https://www.linkedin.com/in/menna-mahmoud-427746336?utm_source=share&amp;utm_campaign=share_via&amp;utm_content=profile&amp;utm_medium=android_app")</f>
        <v>https://www.linkedin.com/in/menna-mahmoud-427746336?utm_source=share&amp;utm_campaign=share_via&amp;utm_content=profile&amp;utm_medium=android_app</v>
      </c>
      <c r="I89" s="1"/>
      <c r="J89" s="1"/>
      <c r="K89" s="1" t="str">
        <f ca="1">IFERROR(__xludf.DUMMYFUNCTION("""COMPUTED_VALUE"""),"Mansoura University")</f>
        <v>Mansoura University</v>
      </c>
      <c r="L89" s="1"/>
      <c r="M89" s="1" t="str">
        <f ca="1">IFERROR(__xludf.DUMMYFUNCTION("""COMPUTED_VALUE"""),"Faculty of Computer &amp; Information Science")</f>
        <v>Faculty of Computer &amp; Information Science</v>
      </c>
      <c r="N89" s="1"/>
      <c r="O89" s="1" t="str">
        <f ca="1">IFERROR(__xludf.DUMMYFUNCTION("""COMPUTED_VALUE"""),"1st Year")</f>
        <v>1st Year</v>
      </c>
      <c r="R89" s="1" t="s">
        <v>244</v>
      </c>
      <c r="S89" s="1" t="s">
        <v>176</v>
      </c>
    </row>
    <row r="90" spans="1:19">
      <c r="A90" s="1" t="str">
        <f ca="1">IFERROR(__xludf.DUMMYFUNCTION("""COMPUTED_VALUE"""),"Ahmed Ayman Esmaiel")</f>
        <v>Ahmed Ayman Esmaiel</v>
      </c>
      <c r="B90" s="1" t="str">
        <f ca="1">IFERROR(__xludf.DUMMYFUNCTION("""COMPUTED_VALUE"""),"esmaiel1962005@gmail.com")</f>
        <v>esmaiel1962005@gmail.com</v>
      </c>
      <c r="C90" s="1">
        <f ca="1">IFERROR(__xludf.DUMMYFUNCTION("""COMPUTED_VALUE"""),201009803848)</f>
        <v>201009803848</v>
      </c>
      <c r="D90" s="1" t="str">
        <f ca="1">IFERROR(__xludf.DUMMYFUNCTION("""COMPUTED_VALUE"""),"منية النصر")</f>
        <v>منية النصر</v>
      </c>
      <c r="E90" s="12" t="str">
        <f ca="1">IFERROR(__xludf.DUMMYFUNCTION("""COMPUTED_VALUE"""),"https://www.facebook.com/profile.php?id=100011378223499&amp;mibextid=ZbWKwL")</f>
        <v>https://www.facebook.com/profile.php?id=100011378223499&amp;mibextid=ZbWKwL</v>
      </c>
      <c r="F90" s="1" t="str">
        <f ca="1">IFERROR(__xludf.DUMMYFUNCTION("""COMPUTED_VALUE"""),"ahmed_ayman19")</f>
        <v>ahmed_ayman19</v>
      </c>
      <c r="G90" s="1"/>
      <c r="H90" s="12" t="str">
        <f ca="1">IFERROR(__xludf.DUMMYFUNCTION("""COMPUTED_VALUE"""),"https://www.linkedin.com/in/ahmed-esmaiel-b55918323?utm_source=share&amp;utm_campaign=share_via&amp;utm_content=profile&amp;utm_medium=android_app")</f>
        <v>https://www.linkedin.com/in/ahmed-esmaiel-b55918323?utm_source=share&amp;utm_campaign=share_via&amp;utm_content=profile&amp;utm_medium=android_app</v>
      </c>
      <c r="I90" s="12" t="str">
        <f ca="1">IFERROR(__xludf.DUMMYFUNCTION("""COMPUTED_VALUE"""),"https://github.com/aboesmaiel1")</f>
        <v>https://github.com/aboesmaiel1</v>
      </c>
      <c r="J90" s="1"/>
      <c r="K90" s="1" t="str">
        <f ca="1">IFERROR(__xludf.DUMMYFUNCTION("""COMPUTED_VALUE"""),"Mansoura University")</f>
        <v>Mansoura University</v>
      </c>
      <c r="L90" s="1"/>
      <c r="M90" s="1" t="str">
        <f ca="1">IFERROR(__xludf.DUMMYFUNCTION("""COMPUTED_VALUE"""),"Faculty of Computer &amp; Information Science")</f>
        <v>Faculty of Computer &amp; Information Science</v>
      </c>
      <c r="N90" s="1"/>
      <c r="O90" s="1" t="str">
        <f ca="1">IFERROR(__xludf.DUMMYFUNCTION("""COMPUTED_VALUE"""),"2nd Year")</f>
        <v>2nd Year</v>
      </c>
      <c r="R90" s="1" t="s">
        <v>35</v>
      </c>
      <c r="S90" s="1" t="s">
        <v>173</v>
      </c>
    </row>
    <row r="91" spans="1:19">
      <c r="A91" s="1" t="str">
        <f ca="1">IFERROR(__xludf.DUMMYFUNCTION("""COMPUTED_VALUE"""),"Amr khaled fayz moustafa")</f>
        <v>Amr khaled fayz moustafa</v>
      </c>
      <c r="B91" s="1" t="str">
        <f ca="1">IFERROR(__xludf.DUMMYFUNCTION("""COMPUTED_VALUE"""),"mero.khalid.2006@gmail.com")</f>
        <v>mero.khalid.2006@gmail.com</v>
      </c>
      <c r="C91" s="1">
        <f ca="1">IFERROR(__xludf.DUMMYFUNCTION("""COMPUTED_VALUE"""),201017818134)</f>
        <v>201017818134</v>
      </c>
      <c r="D91" s="1" t="str">
        <f ca="1">IFERROR(__xludf.DUMMYFUNCTION("""COMPUTED_VALUE"""),"المنصورة _توريل الجديده")</f>
        <v>المنصورة _توريل الجديده</v>
      </c>
      <c r="E91" s="12" t="str">
        <f ca="1">IFERROR(__xludf.DUMMYFUNCTION("""COMPUTED_VALUE"""),"https://www.facebook.com/profile.php?id=100033554140435&amp;mibextid=ZbWKwL")</f>
        <v>https://www.facebook.com/profile.php?id=100033554140435&amp;mibextid=ZbWKwL</v>
      </c>
      <c r="F91" s="1" t="str">
        <f ca="1">IFERROR(__xludf.DUMMYFUNCTION("""COMPUTED_VALUE"""),"None")</f>
        <v>None</v>
      </c>
      <c r="G91" s="1"/>
      <c r="H91" s="12" t="str">
        <f ca="1">IFERROR(__xludf.DUMMYFUNCTION("""COMPUTED_VALUE"""),"https://www.linkedin.com/in/amr-khaled-b856092a3?utm_source=share&amp;utm_campaign=share_via&amp;utm_content=profile&amp;utm_medium=android_app")</f>
        <v>https://www.linkedin.com/in/amr-khaled-b856092a3?utm_source=share&amp;utm_campaign=share_via&amp;utm_content=profile&amp;utm_medium=android_app</v>
      </c>
      <c r="I91" s="12" t="str">
        <f ca="1">IFERROR(__xludf.DUMMYFUNCTION("""COMPUTED_VALUE"""),"https://github.com/amrk111")</f>
        <v>https://github.com/amrk111</v>
      </c>
      <c r="J91" s="1"/>
      <c r="K91" s="1" t="str">
        <f ca="1">IFERROR(__xludf.DUMMYFUNCTION("""COMPUTED_VALUE"""),"Mansoura University")</f>
        <v>Mansoura University</v>
      </c>
      <c r="L91" s="1"/>
      <c r="M91" s="1" t="str">
        <f ca="1">IFERROR(__xludf.DUMMYFUNCTION("""COMPUTED_VALUE"""),"Faculty of Computer &amp; Information Science")</f>
        <v>Faculty of Computer &amp; Information Science</v>
      </c>
      <c r="N91" s="1"/>
      <c r="O91" s="1" t="str">
        <f ca="1">IFERROR(__xludf.DUMMYFUNCTION("""COMPUTED_VALUE"""),"2nd Year")</f>
        <v>2nd Year</v>
      </c>
      <c r="R91" s="1" t="s">
        <v>245</v>
      </c>
      <c r="S91" s="1" t="s">
        <v>173</v>
      </c>
    </row>
    <row r="92" spans="1:19">
      <c r="A92" s="1" t="str">
        <f ca="1">IFERROR(__xludf.DUMMYFUNCTION("""COMPUTED_VALUE"""),"Karim Abuelmaati")</f>
        <v>Karim Abuelmaati</v>
      </c>
      <c r="B92" s="1" t="str">
        <f ca="1">IFERROR(__xludf.DUMMYFUNCTION("""COMPUTED_VALUE"""),"karimabuelmaati6@gmail.om")</f>
        <v>karimabuelmaati6@gmail.om</v>
      </c>
      <c r="C92" s="1">
        <f ca="1">IFERROR(__xludf.DUMMYFUNCTION("""COMPUTED_VALUE"""),201020324860)</f>
        <v>201020324860</v>
      </c>
      <c r="D92" s="1" t="str">
        <f ca="1">IFERROR(__xludf.DUMMYFUNCTION("""COMPUTED_VALUE"""),"سندوب المنصوره")</f>
        <v>سندوب المنصوره</v>
      </c>
      <c r="E92" s="12" t="str">
        <f ca="1">IFERROR(__xludf.DUMMYFUNCTION("""COMPUTED_VALUE"""),"https://www.facebook.com/karim.elsayed.773776?mibextid=LQQJ4d")</f>
        <v>https://www.facebook.com/karim.elsayed.773776?mibextid=LQQJ4d</v>
      </c>
      <c r="F92" s="1" t="str">
        <f ca="1">IFERROR(__xludf.DUMMYFUNCTION("""COMPUTED_VALUE"""),"karim_98235")</f>
        <v>karim_98235</v>
      </c>
      <c r="G92" s="1"/>
      <c r="H92" s="1"/>
      <c r="I92" s="1"/>
      <c r="J92" s="1"/>
      <c r="K92" s="1" t="str">
        <f ca="1">IFERROR(__xludf.DUMMYFUNCTION("""COMPUTED_VALUE"""),"Mansoura University")</f>
        <v>Mansoura University</v>
      </c>
      <c r="L92" s="1"/>
      <c r="M92" s="1" t="str">
        <f ca="1">IFERROR(__xludf.DUMMYFUNCTION("""COMPUTED_VALUE"""),"Faculty of Computer &amp; Information Science")</f>
        <v>Faculty of Computer &amp; Information Science</v>
      </c>
      <c r="N92" s="1"/>
      <c r="O92" s="1" t="str">
        <f ca="1">IFERROR(__xludf.DUMMYFUNCTION("""COMPUTED_VALUE"""),"2nd Year")</f>
        <v>2nd Year</v>
      </c>
      <c r="R92" s="1" t="s">
        <v>246</v>
      </c>
      <c r="S92" s="1" t="s">
        <v>173</v>
      </c>
    </row>
    <row r="93" spans="1:19">
      <c r="A93" s="1" t="str">
        <f ca="1">IFERROR(__xludf.DUMMYFUNCTION("""COMPUTED_VALUE"""),"Omnia yasser metwally ")</f>
        <v xml:space="preserve">Omnia yasser metwally </v>
      </c>
      <c r="B93" s="1" t="str">
        <f ca="1">IFERROR(__xludf.DUMMYFUNCTION("""COMPUTED_VALUE"""),"omniay721@gmail.com")</f>
        <v>omniay721@gmail.com</v>
      </c>
      <c r="C93" s="1">
        <f ca="1">IFERROR(__xludf.DUMMYFUNCTION("""COMPUTED_VALUE"""),201103769979)</f>
        <v>201103769979</v>
      </c>
      <c r="D93" s="1" t="str">
        <f ca="1">IFERROR(__xludf.DUMMYFUNCTION("""COMPUTED_VALUE"""),"الربع مركز تمي الامديد محافظة الدقهلية ")</f>
        <v xml:space="preserve">الربع مركز تمي الامديد محافظة الدقهلية </v>
      </c>
      <c r="E93" s="12" t="str">
        <f ca="1">IFERROR(__xludf.DUMMYFUNCTION("""COMPUTED_VALUE"""),"https://www.facebook.com/profile.php?id=100071633059812&amp;mibextid=ZbWKwL")</f>
        <v>https://www.facebook.com/profile.php?id=100071633059812&amp;mibextid=ZbWKwL</v>
      </c>
      <c r="F93" s="1" t="str">
        <f ca="1">IFERROR(__xludf.DUMMYFUNCTION("""COMPUTED_VALUE"""),"omnia_116")</f>
        <v>omnia_116</v>
      </c>
      <c r="G93" s="1"/>
      <c r="H93" s="12" t="str">
        <f ca="1">IFERROR(__xludf.DUMMYFUNCTION("""COMPUTED_VALUE"""),"https://www.linkedin.com/in/omnia-yasser-a022b9331?utm_source=share&amp;utm_campaign=share_via&amp;utm_content=profile&amp;utm_medium=android_app")</f>
        <v>https://www.linkedin.com/in/omnia-yasser-a022b9331?utm_source=share&amp;utm_campaign=share_via&amp;utm_content=profile&amp;utm_medium=android_app</v>
      </c>
      <c r="I93" s="1"/>
      <c r="J93" s="1"/>
      <c r="K93" s="1" t="str">
        <f ca="1">IFERROR(__xludf.DUMMYFUNCTION("""COMPUTED_VALUE"""),"Mansoura University")</f>
        <v>Mansoura University</v>
      </c>
      <c r="L93" s="1"/>
      <c r="M93" s="1" t="str">
        <f ca="1">IFERROR(__xludf.DUMMYFUNCTION("""COMPUTED_VALUE"""),"Faculty of Computer &amp; Information Science")</f>
        <v>Faculty of Computer &amp; Information Science</v>
      </c>
      <c r="N93" s="1"/>
      <c r="O93" s="1" t="str">
        <f ca="1">IFERROR(__xludf.DUMMYFUNCTION("""COMPUTED_VALUE"""),"1st Year")</f>
        <v>1st Year</v>
      </c>
      <c r="R93" s="1" t="s">
        <v>247</v>
      </c>
      <c r="S93" s="1" t="s">
        <v>176</v>
      </c>
    </row>
    <row r="94" spans="1:19">
      <c r="A94" s="1" t="str">
        <f ca="1">IFERROR(__xludf.DUMMYFUNCTION("""COMPUTED_VALUE"""),"Omar Ayman Abdelsalam")</f>
        <v>Omar Ayman Abdelsalam</v>
      </c>
      <c r="B94" s="1" t="str">
        <f ca="1">IFERROR(__xludf.DUMMYFUNCTION("""COMPUTED_VALUE"""),"omar.ayman.mans@gmail.com")</f>
        <v>omar.ayman.mans@gmail.com</v>
      </c>
      <c r="C94" s="1">
        <f ca="1">IFERROR(__xludf.DUMMYFUNCTION("""COMPUTED_VALUE"""),201020793892)</f>
        <v>201020793892</v>
      </c>
      <c r="D94" s="1" t="str">
        <f ca="1">IFERROR(__xludf.DUMMYFUNCTION("""COMPUTED_VALUE"""),"Mansoura ")</f>
        <v xml:space="preserve">Mansoura </v>
      </c>
      <c r="E94" s="12" t="str">
        <f ca="1">IFERROR(__xludf.DUMMYFUNCTION("""COMPUTED_VALUE"""),"https://www.facebook.com/profile.php?id=100013513477586&amp;mibextid=ZbWKwL")</f>
        <v>https://www.facebook.com/profile.php?id=100013513477586&amp;mibextid=ZbWKwL</v>
      </c>
      <c r="F94" s="1" t="str">
        <f ca="1">IFERROR(__xludf.DUMMYFUNCTION("""COMPUTED_VALUE"""),"omar_ayman_mansour")</f>
        <v>omar_ayman_mansour</v>
      </c>
      <c r="G94" s="1"/>
      <c r="H94" s="12" t="str">
        <f ca="1">IFERROR(__xludf.DUMMYFUNCTION("""COMPUTED_VALUE"""),"https://www.linkedin.com/in/omar-ayman-62516b2b9?utm_source=share&amp;utm_campaign=share_via&amp;utm_content=profile&amp;utm_medium=android_app")</f>
        <v>https://www.linkedin.com/in/omar-ayman-62516b2b9?utm_source=share&amp;utm_campaign=share_via&amp;utm_content=profile&amp;utm_medium=android_app</v>
      </c>
      <c r="I94" s="12" t="str">
        <f ca="1">IFERROR(__xludf.DUMMYFUNCTION("""COMPUTED_VALUE"""),"https://github.com/Omar-Mans")</f>
        <v>https://github.com/Omar-Mans</v>
      </c>
      <c r="J94" s="1"/>
      <c r="K94" s="1" t="str">
        <f ca="1">IFERROR(__xludf.DUMMYFUNCTION("""COMPUTED_VALUE"""),"Mansoura University")</f>
        <v>Mansoura University</v>
      </c>
      <c r="L94" s="1"/>
      <c r="M94" s="1" t="str">
        <f ca="1">IFERROR(__xludf.DUMMYFUNCTION("""COMPUTED_VALUE"""),"Faculty of Computer &amp; Information Science")</f>
        <v>Faculty of Computer &amp; Information Science</v>
      </c>
      <c r="N94" s="1"/>
      <c r="O94" s="1" t="str">
        <f ca="1">IFERROR(__xludf.DUMMYFUNCTION("""COMPUTED_VALUE"""),"2nd Year")</f>
        <v>2nd Year</v>
      </c>
      <c r="R94" s="1" t="s">
        <v>248</v>
      </c>
      <c r="S94" s="1" t="s">
        <v>173</v>
      </c>
    </row>
    <row r="95" spans="1:19">
      <c r="A95" s="1" t="str">
        <f ca="1">IFERROR(__xludf.DUMMYFUNCTION("""COMPUTED_VALUE"""),"Hamza nader salah")</f>
        <v>Hamza nader salah</v>
      </c>
      <c r="B95" s="1" t="str">
        <f ca="1">IFERROR(__xludf.DUMMYFUNCTION("""COMPUTED_VALUE"""),"hamzanadersalah10@gmail.com")</f>
        <v>hamzanadersalah10@gmail.com</v>
      </c>
      <c r="C95" s="1">
        <f ca="1">IFERROR(__xludf.DUMMYFUNCTION("""COMPUTED_VALUE"""),201010253845)</f>
        <v>201010253845</v>
      </c>
      <c r="D95" s="1" t="str">
        <f ca="1">IFERROR(__xludf.DUMMYFUNCTION("""COMPUTED_VALUE"""),"EL mahala elkobra")</f>
        <v>EL mahala elkobra</v>
      </c>
      <c r="E95" s="12" t="str">
        <f ca="1">IFERROR(__xludf.DUMMYFUNCTION("""COMPUTED_VALUE"""),"https://www.facebook.com/hamza.nader.7564?mibextid=LQQJ4d")</f>
        <v>https://www.facebook.com/hamza.nader.7564?mibextid=LQQJ4d</v>
      </c>
      <c r="F95" s="1" t="str">
        <f ca="1">IFERROR(__xludf.DUMMYFUNCTION("""COMPUTED_VALUE"""),"hamza_nader10_94623")</f>
        <v>hamza_nader10_94623</v>
      </c>
      <c r="G95" s="12" t="str">
        <f ca="1">IFERROR(__xludf.DUMMYFUNCTION("""COMPUTED_VALUE"""),"https://x.com/hamza_nader10_")</f>
        <v>https://x.com/hamza_nader10_</v>
      </c>
      <c r="H95" s="12" t="str">
        <f ca="1">IFERROR(__xludf.DUMMYFUNCTION("""COMPUTED_VALUE"""),"www.linkedin.com/in/hamza-nader-428483337")</f>
        <v>www.linkedin.com/in/hamza-nader-428483337</v>
      </c>
      <c r="I95" s="1"/>
      <c r="J95" s="1"/>
      <c r="K95" s="1" t="str">
        <f ca="1">IFERROR(__xludf.DUMMYFUNCTION("""COMPUTED_VALUE"""),"Mansoura University")</f>
        <v>Mansoura University</v>
      </c>
      <c r="L95" s="1"/>
      <c r="M95" s="1" t="str">
        <f ca="1">IFERROR(__xludf.DUMMYFUNCTION("""COMPUTED_VALUE"""),"Faculty of Computer &amp; Information Science")</f>
        <v>Faculty of Computer &amp; Information Science</v>
      </c>
      <c r="N95" s="1"/>
      <c r="O95" s="1" t="str">
        <f ca="1">IFERROR(__xludf.DUMMYFUNCTION("""COMPUTED_VALUE"""),"2nd Year")</f>
        <v>2nd Year</v>
      </c>
      <c r="R95" s="1" t="s">
        <v>249</v>
      </c>
      <c r="S95" s="1" t="s">
        <v>173</v>
      </c>
    </row>
    <row r="96" spans="1:19">
      <c r="A96" s="1" t="str">
        <f ca="1">IFERROR(__xludf.DUMMYFUNCTION("""COMPUTED_VALUE"""),"Abdallah ahmed abdallah emish")</f>
        <v>Abdallah ahmed abdallah emish</v>
      </c>
      <c r="B96" s="1" t="str">
        <f ca="1">IFERROR(__xludf.DUMMYFUNCTION("""COMPUTED_VALUE"""),"emishabdallah@gmail.com")</f>
        <v>emishabdallah@gmail.com</v>
      </c>
      <c r="C96" s="1">
        <f ca="1">IFERROR(__xludf.DUMMYFUNCTION("""COMPUTED_VALUE"""),201203776376)</f>
        <v>201203776376</v>
      </c>
      <c r="D96" s="1" t="str">
        <f ca="1">IFERROR(__xludf.DUMMYFUNCTION("""COMPUTED_VALUE"""),"Mansoura,manzala")</f>
        <v>Mansoura,manzala</v>
      </c>
      <c r="E96" s="12" t="str">
        <f ca="1">IFERROR(__xludf.DUMMYFUNCTION("""COMPUTED_VALUE"""),"https://www.facebook.com/profile.php?id=100009349824383&amp;mibextid=LQQJ4d")</f>
        <v>https://www.facebook.com/profile.php?id=100009349824383&amp;mibextid=LQQJ4d</v>
      </c>
      <c r="F96" s="1" t="str">
        <f ca="1">IFERROR(__xludf.DUMMYFUNCTION("""COMPUTED_VALUE"""),"Abdallah emish")</f>
        <v>Abdallah emish</v>
      </c>
      <c r="G96" s="12" t="str">
        <f ca="1">IFERROR(__xludf.DUMMYFUNCTION("""COMPUTED_VALUE"""),"https://x.com/abdallahemish?s=21")</f>
        <v>https://x.com/abdallahemish?s=21</v>
      </c>
      <c r="H96" s="12" t="str">
        <f ca="1">IFERROR(__xludf.DUMMYFUNCTION("""COMPUTED_VALUE"""),"https://www.linkedin.com/in/abdallah-emish-676864282?utm_source=share&amp;utm_campaign=share_via&amp;utm_content=profile&amp;utm_medium=ios_app")</f>
        <v>https://www.linkedin.com/in/abdallah-emish-676864282?utm_source=share&amp;utm_campaign=share_via&amp;utm_content=profile&amp;utm_medium=ios_app</v>
      </c>
      <c r="I96" s="12" t="str">
        <f ca="1">IFERROR(__xludf.DUMMYFUNCTION("""COMPUTED_VALUE"""),"https://github.com/abdallahemish")</f>
        <v>https://github.com/abdallahemish</v>
      </c>
      <c r="J96" s="12" t="str">
        <f ca="1">IFERROR(__xludf.DUMMYFUNCTION("""COMPUTED_VALUE"""),"https://behance.com/abdallahemish")</f>
        <v>https://behance.com/abdallahemish</v>
      </c>
      <c r="K96" s="1" t="str">
        <f ca="1">IFERROR(__xludf.DUMMYFUNCTION("""COMPUTED_VALUE"""),"Mansoura University")</f>
        <v>Mansoura University</v>
      </c>
      <c r="L96" s="1"/>
      <c r="M96" s="1" t="str">
        <f ca="1">IFERROR(__xludf.DUMMYFUNCTION("""COMPUTED_VALUE"""),"Faculty of Computer &amp; Information Science")</f>
        <v>Faculty of Computer &amp; Information Science</v>
      </c>
      <c r="N96" s="1"/>
      <c r="O96" s="1" t="str">
        <f ca="1">IFERROR(__xludf.DUMMYFUNCTION("""COMPUTED_VALUE"""),"2nd Year")</f>
        <v>2nd Year</v>
      </c>
      <c r="R96" s="1" t="s">
        <v>250</v>
      </c>
      <c r="S96" s="1" t="s">
        <v>173</v>
      </c>
    </row>
    <row r="97" spans="1:19">
      <c r="A97" s="1" t="str">
        <f ca="1">IFERROR(__xludf.DUMMYFUNCTION("""COMPUTED_VALUE"""),"Mohamed Magdy Fetouh Rizk ")</f>
        <v xml:space="preserve">Mohamed Magdy Fetouh Rizk </v>
      </c>
      <c r="B97" s="1" t="str">
        <f ca="1">IFERROR(__xludf.DUMMYFUNCTION("""COMPUTED_VALUE"""),"mohamedmagdyrizk203@gmail.com")</f>
        <v>mohamedmagdyrizk203@gmail.com</v>
      </c>
      <c r="C97" s="1">
        <f ca="1">IFERROR(__xludf.DUMMYFUNCTION("""COMPUTED_VALUE"""),201092754919)</f>
        <v>201092754919</v>
      </c>
      <c r="D97" s="1" t="str">
        <f ca="1">IFERROR(__xludf.DUMMYFUNCTION("""COMPUTED_VALUE"""),"Minyt samanoud - Aga -Al dakhliya")</f>
        <v>Minyt samanoud - Aga -Al dakhliya</v>
      </c>
      <c r="E97" s="12" t="str">
        <f ca="1">IFERROR(__xludf.DUMMYFUNCTION("""COMPUTED_VALUE"""),"https://www.facebook.com/share/19YnMWpSiv/")</f>
        <v>https://www.facebook.com/share/19YnMWpSiv/</v>
      </c>
      <c r="F97" s="1" t="str">
        <f ca="1">IFERROR(__xludf.DUMMYFUNCTION("""COMPUTED_VALUE"""),"mohamed_magdy_rizk")</f>
        <v>mohamed_magdy_rizk</v>
      </c>
      <c r="G97" s="1"/>
      <c r="H97" s="12" t="str">
        <f ca="1">IFERROR(__xludf.DUMMYFUNCTION("""COMPUTED_VALUE"""),"https://www.linkedin.com/in/mohamed-magdy-375715294?utm_source=share&amp;utm_campaign=share_via&amp;utm_content=profile&amp;utm_medium=android_app")</f>
        <v>https://www.linkedin.com/in/mohamed-magdy-375715294?utm_source=share&amp;utm_campaign=share_via&amp;utm_content=profile&amp;utm_medium=android_app</v>
      </c>
      <c r="I97" s="12" t="str">
        <f ca="1">IFERROR(__xludf.DUMMYFUNCTION("""COMPUTED_VALUE"""),"https://github.com/MohamedMagdy-203")</f>
        <v>https://github.com/MohamedMagdy-203</v>
      </c>
      <c r="J97" s="1"/>
      <c r="K97" s="1" t="str">
        <f ca="1">IFERROR(__xludf.DUMMYFUNCTION("""COMPUTED_VALUE"""),"Mansoura University")</f>
        <v>Mansoura University</v>
      </c>
      <c r="L97" s="1"/>
      <c r="M97" s="1" t="str">
        <f ca="1">IFERROR(__xludf.DUMMYFUNCTION("""COMPUTED_VALUE"""),"Faculty of Engineering")</f>
        <v>Faculty of Engineering</v>
      </c>
      <c r="N97" s="1"/>
      <c r="O97" s="1" t="str">
        <f ca="1">IFERROR(__xludf.DUMMYFUNCTION("""COMPUTED_VALUE"""),"3rd Year")</f>
        <v>3rd Year</v>
      </c>
      <c r="R97" s="1" t="s">
        <v>251</v>
      </c>
      <c r="S97" s="1" t="s">
        <v>170</v>
      </c>
    </row>
    <row r="98" spans="1:19">
      <c r="A98" s="1" t="str">
        <f ca="1">IFERROR(__xludf.DUMMYFUNCTION("""COMPUTED_VALUE"""),"Noran Sabri Ibrahim")</f>
        <v>Noran Sabri Ibrahim</v>
      </c>
      <c r="B98" s="1" t="str">
        <f ca="1">IFERROR(__xludf.DUMMYFUNCTION("""COMPUTED_VALUE"""),"noransabri3@gmail.com")</f>
        <v>noransabri3@gmail.com</v>
      </c>
      <c r="C98" s="1">
        <f ca="1">IFERROR(__xludf.DUMMYFUNCTION("""COMPUTED_VALUE"""),201062632516)</f>
        <v>201062632516</v>
      </c>
      <c r="D98" s="1" t="str">
        <f ca="1">IFERROR(__xludf.DUMMYFUNCTION("""COMPUTED_VALUE"""),"المنصوره")</f>
        <v>المنصوره</v>
      </c>
      <c r="E98" s="12" t="str">
        <f ca="1">IFERROR(__xludf.DUMMYFUNCTION("""COMPUTED_VALUE"""),"https://www.facebook.com/profile.php?id=100077430631214&amp;mibextid=ZbWKwL")</f>
        <v>https://www.facebook.com/profile.php?id=100077430631214&amp;mibextid=ZbWKwL</v>
      </c>
      <c r="F98" s="12" t="str">
        <f ca="1">IFERROR(__xludf.DUMMYFUNCTION("""COMPUTED_VALUE"""),"https://discord.gg/A3PMPa9g")</f>
        <v>https://discord.gg/A3PMPa9g</v>
      </c>
      <c r="G98" s="1"/>
      <c r="H98" s="1"/>
      <c r="I98" s="1"/>
      <c r="J98" s="1"/>
      <c r="K98" s="1" t="str">
        <f ca="1">IFERROR(__xludf.DUMMYFUNCTION("""COMPUTED_VALUE"""),"Mansoura University")</f>
        <v>Mansoura University</v>
      </c>
      <c r="L98" s="1"/>
      <c r="M98" s="1" t="str">
        <f ca="1">IFERROR(__xludf.DUMMYFUNCTION("""COMPUTED_VALUE"""),"Faculty of Computer &amp; Information Science")</f>
        <v>Faculty of Computer &amp; Information Science</v>
      </c>
      <c r="N98" s="1"/>
      <c r="O98" s="1" t="str">
        <f ca="1">IFERROR(__xludf.DUMMYFUNCTION("""COMPUTED_VALUE"""),"1st Year")</f>
        <v>1st Year</v>
      </c>
      <c r="R98" s="1" t="s">
        <v>252</v>
      </c>
      <c r="S98" s="1" t="s">
        <v>176</v>
      </c>
    </row>
    <row r="99" spans="1:19">
      <c r="A99" s="1" t="str">
        <f ca="1">IFERROR(__xludf.DUMMYFUNCTION("""COMPUTED_VALUE"""),"Moataz Ebrahim Saleh")</f>
        <v>Moataz Ebrahim Saleh</v>
      </c>
      <c r="B99" s="1" t="str">
        <f ca="1">IFERROR(__xludf.DUMMYFUNCTION("""COMPUTED_VALUE"""),"moatazebrahim09@gmail.com")</f>
        <v>moatazebrahim09@gmail.com</v>
      </c>
      <c r="C99" s="1">
        <f ca="1">IFERROR(__xludf.DUMMYFUNCTION("""COMPUTED_VALUE"""),201020497543)</f>
        <v>201020497543</v>
      </c>
      <c r="D99" s="1" t="str">
        <f ca="1">IFERROR(__xludf.DUMMYFUNCTION("""COMPUTED_VALUE"""),"Al-Mahallah Al-Kobra")</f>
        <v>Al-Mahallah Al-Kobra</v>
      </c>
      <c r="E99" s="12" t="str">
        <f ca="1">IFERROR(__xludf.DUMMYFUNCTION("""COMPUTED_VALUE"""),"https://www.facebook.com/Mo3taz00Ezz")</f>
        <v>https://www.facebook.com/Mo3taz00Ezz</v>
      </c>
      <c r="F99" s="1" t="str">
        <f ca="1">IFERROR(__xludf.DUMMYFUNCTION("""COMPUTED_VALUE"""),"moataz_saleh")</f>
        <v>moataz_saleh</v>
      </c>
      <c r="G99" s="1"/>
      <c r="H99" s="12" t="str">
        <f ca="1">IFERROR(__xludf.DUMMYFUNCTION("""COMPUTED_VALUE"""),"https://www.linkedin.com/in/mouataz-saleh10/")</f>
        <v>https://www.linkedin.com/in/mouataz-saleh10/</v>
      </c>
      <c r="I99" s="12" t="str">
        <f ca="1">IFERROR(__xludf.DUMMYFUNCTION("""COMPUTED_VALUE"""),"https://github.com/moattaz/Moataz-Saleh")</f>
        <v>https://github.com/moattaz/Moataz-Saleh</v>
      </c>
      <c r="J99" s="1"/>
      <c r="K99" s="1" t="str">
        <f ca="1">IFERROR(__xludf.DUMMYFUNCTION("""COMPUTED_VALUE"""),"Mansoura University")</f>
        <v>Mansoura University</v>
      </c>
      <c r="L99" s="1"/>
      <c r="M99" s="1" t="str">
        <f ca="1">IFERROR(__xludf.DUMMYFUNCTION("""COMPUTED_VALUE"""),"Faculty of Computer &amp; Information Science")</f>
        <v>Faculty of Computer &amp; Information Science</v>
      </c>
      <c r="N99" s="1"/>
      <c r="O99" s="1" t="str">
        <f ca="1">IFERROR(__xludf.DUMMYFUNCTION("""COMPUTED_VALUE"""),"2nd Year")</f>
        <v>2nd Year</v>
      </c>
      <c r="R99" s="1" t="s">
        <v>253</v>
      </c>
      <c r="S99" s="1" t="s">
        <v>173</v>
      </c>
    </row>
    <row r="100" spans="1:19">
      <c r="A100" s="1" t="str">
        <f ca="1">IFERROR(__xludf.DUMMYFUNCTION("""COMPUTED_VALUE"""),"Mohamed Yehia")</f>
        <v>Mohamed Yehia</v>
      </c>
      <c r="B100" s="1" t="str">
        <f ca="1">IFERROR(__xludf.DUMMYFUNCTION("""COMPUTED_VALUE"""),"moyeay2004@gmail.com")</f>
        <v>moyeay2004@gmail.com</v>
      </c>
      <c r="C100" s="1">
        <f ca="1">IFERROR(__xludf.DUMMYFUNCTION("""COMPUTED_VALUE"""),201200732763)</f>
        <v>201200732763</v>
      </c>
      <c r="D100" s="1" t="str">
        <f ca="1">IFERROR(__xludf.DUMMYFUNCTION("""COMPUTED_VALUE"""),"Mansoura")</f>
        <v>Mansoura</v>
      </c>
      <c r="E100" s="12" t="str">
        <f ca="1">IFERROR(__xludf.DUMMYFUNCTION("""COMPUTED_VALUE"""),"https://www.facebook.com/abo.yehia.01?mibextid=ZbWKwL")</f>
        <v>https://www.facebook.com/abo.yehia.01?mibextid=ZbWKwL</v>
      </c>
      <c r="F100" s="1" t="str">
        <f ca="1">IFERROR(__xludf.DUMMYFUNCTION("""COMPUTED_VALUE"""),"morefc")</f>
        <v>morefc</v>
      </c>
      <c r="G100" s="1"/>
      <c r="H100" s="12" t="str">
        <f ca="1">IFERROR(__xludf.DUMMYFUNCTION("""COMPUTED_VALUE"""),"https://www.linkedin.com/in/mohamed-yehia-0a323931b?utm_source=share&amp;utm_campaign=share_via&amp;utm_content=profile&amp;utm_medium=android_app")</f>
        <v>https://www.linkedin.com/in/mohamed-yehia-0a323931b?utm_source=share&amp;utm_campaign=share_via&amp;utm_content=profile&amp;utm_medium=android_app</v>
      </c>
      <c r="I100" s="12" t="str">
        <f ca="1">IFERROR(__xludf.DUMMYFUNCTION("""COMPUTED_VALUE"""),"https://github.com/mohamedyehia990/mohamed.git")</f>
        <v>https://github.com/mohamedyehia990/mohamed.git</v>
      </c>
      <c r="J100" s="1"/>
      <c r="K100" s="1" t="str">
        <f ca="1">IFERROR(__xludf.DUMMYFUNCTION("""COMPUTED_VALUE"""),"Mansoura University")</f>
        <v>Mansoura University</v>
      </c>
      <c r="L100" s="1"/>
      <c r="M100" s="1" t="str">
        <f ca="1">IFERROR(__xludf.DUMMYFUNCTION("""COMPUTED_VALUE"""),"Faculty of Computer &amp; Information Science")</f>
        <v>Faculty of Computer &amp; Information Science</v>
      </c>
      <c r="N100" s="1"/>
      <c r="O100" s="1" t="str">
        <f ca="1">IFERROR(__xludf.DUMMYFUNCTION("""COMPUTED_VALUE"""),"2nd Year")</f>
        <v>2nd Year</v>
      </c>
      <c r="R100" s="1" t="s">
        <v>254</v>
      </c>
      <c r="S100" s="1" t="s">
        <v>173</v>
      </c>
    </row>
    <row r="101" spans="1:19">
      <c r="A101" s="1" t="str">
        <f ca="1">IFERROR(__xludf.DUMMYFUNCTION("""COMPUTED_VALUE"""),"Rana Abdelrahman Sabry Abdelrahman ")</f>
        <v xml:space="preserve">Rana Abdelrahman Sabry Abdelrahman </v>
      </c>
      <c r="B101" s="1" t="str">
        <f ca="1">IFERROR(__xludf.DUMMYFUNCTION("""COMPUTED_VALUE"""),"ranaaboda133@gmail.com")</f>
        <v>ranaaboda133@gmail.com</v>
      </c>
      <c r="C101" s="1">
        <f ca="1">IFERROR(__xludf.DUMMYFUNCTION("""COMPUTED_VALUE"""),201003866084)</f>
        <v>201003866084</v>
      </c>
      <c r="D101" s="1" t="str">
        <f ca="1">IFERROR(__xludf.DUMMYFUNCTION("""COMPUTED_VALUE"""),"Kafr at Tawilah, Talkha, Aldakahlia, Egypt")</f>
        <v>Kafr at Tawilah, Talkha, Aldakahlia, Egypt</v>
      </c>
      <c r="E101" s="12" t="str">
        <f ca="1">IFERROR(__xludf.DUMMYFUNCTION("""COMPUTED_VALUE"""),"https://www.facebook.com/profile.php?id=100084144094358&amp;mibextid=ZbWKwL")</f>
        <v>https://www.facebook.com/profile.php?id=100084144094358&amp;mibextid=ZbWKwL</v>
      </c>
      <c r="F101" s="12" t="str">
        <f ca="1">IFERROR(__xludf.DUMMYFUNCTION("""COMPUTED_VALUE"""),"https://discordapp.com/users/1173546523959754772")</f>
        <v>https://discordapp.com/users/1173546523959754772</v>
      </c>
      <c r="G101" s="1"/>
      <c r="H101" s="12" t="str">
        <f ca="1">IFERROR(__xludf.DUMMYFUNCTION("""COMPUTED_VALUE"""),"https://www.linkedin.com/in/rana-abdelrahman-")</f>
        <v>https://www.linkedin.com/in/rana-abdelrahman-</v>
      </c>
      <c r="I101" s="12" t="str">
        <f ca="1">IFERROR(__xludf.DUMMYFUNCTION("""COMPUTED_VALUE"""),"https://github.com/ranaabdelrahman71")</f>
        <v>https://github.com/ranaabdelrahman71</v>
      </c>
      <c r="J101" s="1"/>
      <c r="K101" s="1" t="str">
        <f ca="1">IFERROR(__xludf.DUMMYFUNCTION("""COMPUTED_VALUE"""),"Mansoura University")</f>
        <v>Mansoura University</v>
      </c>
      <c r="L101" s="1"/>
      <c r="M101" s="1" t="str">
        <f ca="1">IFERROR(__xludf.DUMMYFUNCTION("""COMPUTED_VALUE"""),"Faculty of Computer &amp; Information Science")</f>
        <v>Faculty of Computer &amp; Information Science</v>
      </c>
      <c r="N101" s="1"/>
      <c r="O101" s="1" t="str">
        <f ca="1">IFERROR(__xludf.DUMMYFUNCTION("""COMPUTED_VALUE"""),"3rd Year")</f>
        <v>3rd Year</v>
      </c>
      <c r="R101" s="1" t="s">
        <v>255</v>
      </c>
      <c r="S101" s="1" t="s">
        <v>170</v>
      </c>
    </row>
    <row r="102" spans="1:19">
      <c r="A102" s="1" t="str">
        <f ca="1">IFERROR(__xludf.DUMMYFUNCTION("""COMPUTED_VALUE"""),"Helmy hisham mohammed elbaz")</f>
        <v>Helmy hisham mohammed elbaz</v>
      </c>
      <c r="B102" s="1" t="str">
        <f ca="1">IFERROR(__xludf.DUMMYFUNCTION("""COMPUTED_VALUE"""),"helmyelbaz2004@gmail.com")</f>
        <v>helmyelbaz2004@gmail.com</v>
      </c>
      <c r="C102" s="1">
        <f ca="1">IFERROR(__xludf.DUMMYFUNCTION("""COMPUTED_VALUE"""),201503355012)</f>
        <v>201503355012</v>
      </c>
      <c r="D102" s="1" t="str">
        <f ca="1">IFERROR(__xludf.DUMMYFUNCTION("""COMPUTED_VALUE"""),"Mansoura")</f>
        <v>Mansoura</v>
      </c>
      <c r="E102" s="12" t="str">
        <f ca="1">IFERROR(__xludf.DUMMYFUNCTION("""COMPUTED_VALUE"""),"https://www.facebook.com/helmy.hisham.31?mibextid=ZbWKwL")</f>
        <v>https://www.facebook.com/helmy.hisham.31?mibextid=ZbWKwL</v>
      </c>
      <c r="F102" s="12" t="str">
        <f ca="1">IFERROR(__xludf.DUMMYFUNCTION("""COMPUTED_VALUE"""),"https://discord.com/channels/@me")</f>
        <v>https://discord.com/channels/@me</v>
      </c>
      <c r="G102" s="1"/>
      <c r="H102" s="12" t="str">
        <f ca="1">IFERROR(__xludf.DUMMYFUNCTION("""COMPUTED_VALUE"""),"http://www.linkedin.com/in/")</f>
        <v>http://www.linkedin.com/in/</v>
      </c>
      <c r="I102" s="1"/>
      <c r="J102" s="12" t="str">
        <f ca="1">IFERROR(__xludf.DUMMYFUNCTION("""COMPUTED_VALUE"""),"https://www.behance.net/helmyhisham")</f>
        <v>https://www.behance.net/helmyhisham</v>
      </c>
      <c r="K102" s="1" t="str">
        <f ca="1">IFERROR(__xludf.DUMMYFUNCTION("""COMPUTED_VALUE"""),"Mansoura University")</f>
        <v>Mansoura University</v>
      </c>
      <c r="L102" s="1"/>
      <c r="M102" s="1" t="str">
        <f ca="1">IFERROR(__xludf.DUMMYFUNCTION("""COMPUTED_VALUE"""),"Faculty of Computer &amp; Information Science")</f>
        <v>Faculty of Computer &amp; Information Science</v>
      </c>
      <c r="N102" s="1"/>
      <c r="O102" s="1" t="str">
        <f ca="1">IFERROR(__xludf.DUMMYFUNCTION("""COMPUTED_VALUE"""),"3rd Year")</f>
        <v>3rd Year</v>
      </c>
      <c r="R102" s="1" t="s">
        <v>256</v>
      </c>
      <c r="S102" s="1" t="s">
        <v>170</v>
      </c>
    </row>
    <row r="103" spans="1:19">
      <c r="A103" s="1" t="str">
        <f ca="1">IFERROR(__xludf.DUMMYFUNCTION("""COMPUTED_VALUE"""),"Fares AboElnasr ")</f>
        <v xml:space="preserve">Fares AboElnasr </v>
      </c>
      <c r="B103" s="1" t="str">
        <f ca="1">IFERROR(__xludf.DUMMYFUNCTION("""COMPUTED_VALUE"""),"faresaboelnaser@gmail.com")</f>
        <v>faresaboelnaser@gmail.com</v>
      </c>
      <c r="C103" s="1">
        <f ca="1">IFERROR(__xludf.DUMMYFUNCTION("""COMPUTED_VALUE"""),201221530647)</f>
        <v>201221530647</v>
      </c>
      <c r="D103" s="1" t="str">
        <f ca="1">IFERROR(__xludf.DUMMYFUNCTION("""COMPUTED_VALUE"""),"Mansoura ")</f>
        <v xml:space="preserve">Mansoura </v>
      </c>
      <c r="E103" s="12" t="str">
        <f ca="1">IFERROR(__xludf.DUMMYFUNCTION("""COMPUTED_VALUE"""),"https://www.facebook.com/profile.php?id=100017823488115&amp;mibextid=ZbWKwL")</f>
        <v>https://www.facebook.com/profile.php?id=100017823488115&amp;mibextid=ZbWKwL</v>
      </c>
      <c r="F103" s="12" t="str">
        <f ca="1">IFERROR(__xludf.DUMMYFUNCTION("""COMPUTED_VALUE"""),"http://linkedin.com/in/fares-aboelnasr-9a335728a")</f>
        <v>http://linkedin.com/in/fares-aboelnasr-9a335728a</v>
      </c>
      <c r="G103" s="1"/>
      <c r="H103" s="12" t="str">
        <f ca="1">IFERROR(__xludf.DUMMYFUNCTION("""COMPUTED_VALUE"""),"http://linkedin.com/in/fares-aboelnasr-9a335728a")</f>
        <v>http://linkedin.com/in/fares-aboelnasr-9a335728a</v>
      </c>
      <c r="I103" s="12" t="str">
        <f ca="1">IFERROR(__xludf.DUMMYFUNCTION("""COMPUTED_VALUE"""),"https://github.com/aboelnasrvip")</f>
        <v>https://github.com/aboelnasrvip</v>
      </c>
      <c r="J103" s="1"/>
      <c r="K103" s="1" t="str">
        <f ca="1">IFERROR(__xludf.DUMMYFUNCTION("""COMPUTED_VALUE"""),"Mansoura University")</f>
        <v>Mansoura University</v>
      </c>
      <c r="L103" s="1"/>
      <c r="M103" s="1" t="str">
        <f ca="1">IFERROR(__xludf.DUMMYFUNCTION("""COMPUTED_VALUE"""),"Faculty of Computer &amp; Information Science")</f>
        <v>Faculty of Computer &amp; Information Science</v>
      </c>
      <c r="N103" s="1"/>
      <c r="O103" s="1" t="str">
        <f ca="1">IFERROR(__xludf.DUMMYFUNCTION("""COMPUTED_VALUE"""),"3rd Year")</f>
        <v>3rd Year</v>
      </c>
      <c r="R103" s="1" t="s">
        <v>257</v>
      </c>
      <c r="S103" s="1" t="s">
        <v>170</v>
      </c>
    </row>
    <row r="104" spans="1:19">
      <c r="A104" s="1" t="str">
        <f ca="1">IFERROR(__xludf.DUMMYFUNCTION("""COMPUTED_VALUE"""),"Marwan Ibrahim Amin")</f>
        <v>Marwan Ibrahim Amin</v>
      </c>
      <c r="B104" s="1" t="str">
        <f ca="1">IFERROR(__xludf.DUMMYFUNCTION("""COMPUTED_VALUE"""),"omarwanamin@gmail.com")</f>
        <v>omarwanamin@gmail.com</v>
      </c>
      <c r="C104" s="1">
        <f ca="1">IFERROR(__xludf.DUMMYFUNCTION("""COMPUTED_VALUE"""),201212549750)</f>
        <v>201212549750</v>
      </c>
      <c r="D104" s="1" t="str">
        <f ca="1">IFERROR(__xludf.DUMMYFUNCTION("""COMPUTED_VALUE"""),"El-Mahalla El-Kubra")</f>
        <v>El-Mahalla El-Kubra</v>
      </c>
      <c r="E104" s="12" t="str">
        <f ca="1">IFERROR(__xludf.DUMMYFUNCTION("""COMPUTED_VALUE"""),"https://www.facebook.com/profile.php?id=100007322474957")</f>
        <v>https://www.facebook.com/profile.php?id=100007322474957</v>
      </c>
      <c r="F104" s="1" t="str">
        <f ca="1">IFERROR(__xludf.DUMMYFUNCTION("""COMPUTED_VALUE"""),"marwan__amin")</f>
        <v>marwan__amin</v>
      </c>
      <c r="G104" s="1"/>
      <c r="H104" s="1"/>
      <c r="I104" s="1"/>
      <c r="J104" s="1"/>
      <c r="K104" s="1" t="str">
        <f ca="1">IFERROR(__xludf.DUMMYFUNCTION("""COMPUTED_VALUE"""),"Mansoura University")</f>
        <v>Mansoura University</v>
      </c>
      <c r="L104" s="1"/>
      <c r="M104" s="1" t="str">
        <f ca="1">IFERROR(__xludf.DUMMYFUNCTION("""COMPUTED_VALUE"""),"Faculty of Computer &amp; Information Science")</f>
        <v>Faculty of Computer &amp; Information Science</v>
      </c>
      <c r="N104" s="1"/>
      <c r="O104" s="1" t="str">
        <f ca="1">IFERROR(__xludf.DUMMYFUNCTION("""COMPUTED_VALUE"""),"2nd Year")</f>
        <v>2nd Year</v>
      </c>
      <c r="R104" s="1" t="s">
        <v>258</v>
      </c>
      <c r="S104" s="1" t="s">
        <v>173</v>
      </c>
    </row>
    <row r="105" spans="1:19">
      <c r="A105" s="1" t="str">
        <f ca="1">IFERROR(__xludf.DUMMYFUNCTION("""COMPUTED_VALUE"""),"Mahmoud Ahmed El-Sayed Mira")</f>
        <v>Mahmoud Ahmed El-Sayed Mira</v>
      </c>
      <c r="B105" s="1" t="str">
        <f ca="1">IFERROR(__xludf.DUMMYFUNCTION("""COMPUTED_VALUE"""),"mahmoudmira0065@gmail.com")</f>
        <v>mahmoudmira0065@gmail.com</v>
      </c>
      <c r="C105" s="1">
        <f ca="1">IFERROR(__xludf.DUMMYFUNCTION("""COMPUTED_VALUE"""),201062537750)</f>
        <v>201062537750</v>
      </c>
      <c r="D105" s="1" t="str">
        <f ca="1">IFERROR(__xludf.DUMMYFUNCTION("""COMPUTED_VALUE"""),"Ismailia, El-Sheikh Zayed")</f>
        <v>Ismailia, El-Sheikh Zayed</v>
      </c>
      <c r="E105" s="12" t="str">
        <f ca="1">IFERROR(__xludf.DUMMYFUNCTION("""COMPUTED_VALUE"""),"https://www.facebook.com/mahmoudmira5600")</f>
        <v>https://www.facebook.com/mahmoudmira5600</v>
      </c>
      <c r="F105" s="1" t="str">
        <f ca="1">IFERROR(__xludf.DUMMYFUNCTION("""COMPUTED_VALUE"""),"walter_white01")</f>
        <v>walter_white01</v>
      </c>
      <c r="G105" s="1"/>
      <c r="H105" s="1"/>
      <c r="I105" s="1"/>
      <c r="J105" s="1"/>
      <c r="K105" s="1" t="str">
        <f ca="1">IFERROR(__xludf.DUMMYFUNCTION("""COMPUTED_VALUE"""),"Mansoura University")</f>
        <v>Mansoura University</v>
      </c>
      <c r="L105" s="1"/>
      <c r="M105" s="1" t="str">
        <f ca="1">IFERROR(__xludf.DUMMYFUNCTION("""COMPUTED_VALUE"""),"Faculty of Engineering")</f>
        <v>Faculty of Engineering</v>
      </c>
      <c r="N105" s="1"/>
      <c r="O105" s="1" t="str">
        <f ca="1">IFERROR(__xludf.DUMMYFUNCTION("""COMPUTED_VALUE"""),"Prep Year (Engineering students)")</f>
        <v>Prep Year (Engineering students)</v>
      </c>
      <c r="R105" s="1" t="s">
        <v>60</v>
      </c>
      <c r="S105" s="1" t="s">
        <v>169</v>
      </c>
    </row>
    <row r="106" spans="1:19">
      <c r="A106" s="1" t="str">
        <f ca="1">IFERROR(__xludf.DUMMYFUNCTION("""COMPUTED_VALUE"""),"Esraa Mohammed")</f>
        <v>Esraa Mohammed</v>
      </c>
      <c r="B106" s="1" t="str">
        <f ca="1">IFERROR(__xludf.DUMMYFUNCTION("""COMPUTED_VALUE"""),"esraamhmd2712@gmail.com")</f>
        <v>esraamhmd2712@gmail.com</v>
      </c>
      <c r="C106" s="1">
        <f ca="1">IFERROR(__xludf.DUMMYFUNCTION("""COMPUTED_VALUE"""),201022806566)</f>
        <v>201022806566</v>
      </c>
      <c r="D106" s="1" t="str">
        <f ca="1">IFERROR(__xludf.DUMMYFUNCTION("""COMPUTED_VALUE"""),"Mansoura")</f>
        <v>Mansoura</v>
      </c>
      <c r="E106" s="12" t="str">
        <f ca="1">IFERROR(__xludf.DUMMYFUNCTION("""COMPUTED_VALUE"""),"https://www.facebook.com/profile.php?id=100076344066376")</f>
        <v>https://www.facebook.com/profile.php?id=100076344066376</v>
      </c>
      <c r="F106" s="1" t="str">
        <f ca="1">IFERROR(__xludf.DUMMYFUNCTION("""COMPUTED_VALUE"""),"@esraa_2m")</f>
        <v>@esraa_2m</v>
      </c>
      <c r="G106" s="12" t="str">
        <f ca="1">IFERROR(__xludf.DUMMYFUNCTION("""COMPUTED_VALUE"""),"https://x.com/esraamhmd_")</f>
        <v>https://x.com/esraamhmd_</v>
      </c>
      <c r="H106" s="12" t="str">
        <f ca="1">IFERROR(__xludf.DUMMYFUNCTION("""COMPUTED_VALUE"""),"https://www.linkedin.com/in/esraamhmd227/")</f>
        <v>https://www.linkedin.com/in/esraamhmd227/</v>
      </c>
      <c r="I106" s="12" t="str">
        <f ca="1">IFERROR(__xludf.DUMMYFUNCTION("""COMPUTED_VALUE"""),"https://github.com/esraa277")</f>
        <v>https://github.com/esraa277</v>
      </c>
      <c r="J106" s="1"/>
      <c r="K106" s="1" t="str">
        <f ca="1">IFERROR(__xludf.DUMMYFUNCTION("""COMPUTED_VALUE"""),"Mansoura University")</f>
        <v>Mansoura University</v>
      </c>
      <c r="L106" s="1"/>
      <c r="M106" s="1" t="str">
        <f ca="1">IFERROR(__xludf.DUMMYFUNCTION("""COMPUTED_VALUE"""),"Faculty of Computer &amp; Information Science")</f>
        <v>Faculty of Computer &amp; Information Science</v>
      </c>
      <c r="N106" s="1"/>
      <c r="O106" s="1" t="str">
        <f ca="1">IFERROR(__xludf.DUMMYFUNCTION("""COMPUTED_VALUE"""),"2nd Year")</f>
        <v>2nd Year</v>
      </c>
      <c r="R106" s="1" t="s">
        <v>259</v>
      </c>
      <c r="S106" s="1" t="s">
        <v>173</v>
      </c>
    </row>
    <row r="107" spans="1:19">
      <c r="A107" s="1" t="str">
        <f ca="1">IFERROR(__xludf.DUMMYFUNCTION("""COMPUTED_VALUE"""),"Reda Mohamed Elnaggar ")</f>
        <v xml:space="preserve">Reda Mohamed Elnaggar </v>
      </c>
      <c r="B107" s="1" t="str">
        <f ca="1">IFERROR(__xludf.DUMMYFUNCTION("""COMPUTED_VALUE"""),"dr1943789@gmail.com")</f>
        <v>dr1943789@gmail.com</v>
      </c>
      <c r="C107" s="1">
        <f ca="1">IFERROR(__xludf.DUMMYFUNCTION("""COMPUTED_VALUE"""),201080922895)</f>
        <v>201080922895</v>
      </c>
      <c r="D107" s="1" t="str">
        <f ca="1">IFERROR(__xludf.DUMMYFUNCTION("""COMPUTED_VALUE"""),"Elmahala")</f>
        <v>Elmahala</v>
      </c>
      <c r="E107" s="12" t="str">
        <f ca="1">IFERROR(__xludf.DUMMYFUNCTION("""COMPUTED_VALUE"""),"https://www.facebook.com/profile.php?id=100049193507428&amp;mibextid=ZbWKwL")</f>
        <v>https://www.facebook.com/profile.php?id=100049193507428&amp;mibextid=ZbWKwL</v>
      </c>
      <c r="F107" s="1">
        <f ca="1">IFERROR(__xludf.DUMMYFUNCTION("""COMPUTED_VALUE"""),100)</f>
        <v>100</v>
      </c>
      <c r="G107" s="1"/>
      <c r="H107" s="1"/>
      <c r="I107" s="1"/>
      <c r="J107" s="1"/>
      <c r="K107" s="1" t="str">
        <f ca="1">IFERROR(__xludf.DUMMYFUNCTION("""COMPUTED_VALUE"""),"Mansoura University")</f>
        <v>Mansoura University</v>
      </c>
      <c r="L107" s="1"/>
      <c r="M107" s="1" t="str">
        <f ca="1">IFERROR(__xludf.DUMMYFUNCTION("""COMPUTED_VALUE"""),"Faculty of Computer &amp; Information Science")</f>
        <v>Faculty of Computer &amp; Information Science</v>
      </c>
      <c r="N107" s="1"/>
      <c r="O107" s="1" t="str">
        <f ca="1">IFERROR(__xludf.DUMMYFUNCTION("""COMPUTED_VALUE"""),"1st Year")</f>
        <v>1st Year</v>
      </c>
      <c r="R107" s="1" t="s">
        <v>260</v>
      </c>
      <c r="S107" s="1" t="s">
        <v>176</v>
      </c>
    </row>
    <row r="108" spans="1:19">
      <c r="A108" s="1" t="str">
        <f ca="1">IFERROR(__xludf.DUMMYFUNCTION("""COMPUTED_VALUE"""),"Mohamed Ehab")</f>
        <v>Mohamed Ehab</v>
      </c>
      <c r="B108" s="1" t="str">
        <f ca="1">IFERROR(__xludf.DUMMYFUNCTION("""COMPUTED_VALUE"""),"mohamedehabSWE74@gmail.com")</f>
        <v>mohamedehabSWE74@gmail.com</v>
      </c>
      <c r="C108" s="1">
        <f ca="1">IFERROR(__xludf.DUMMYFUNCTION("""COMPUTED_VALUE"""),201556697131)</f>
        <v>201556697131</v>
      </c>
      <c r="D108" s="1" t="str">
        <f ca="1">IFERROR(__xludf.DUMMYFUNCTION("""COMPUTED_VALUE"""),"Talkha")</f>
        <v>Talkha</v>
      </c>
      <c r="E108" s="12" t="str">
        <f ca="1">IFERROR(__xludf.DUMMYFUNCTION("""COMPUTED_VALUE"""),"https://www.facebook.com/profile.php?id=100074463285161&amp;mibextid=rS40aB7S9Ucbxw6v")</f>
        <v>https://www.facebook.com/profile.php?id=100074463285161&amp;mibextid=rS40aB7S9Ucbxw6v</v>
      </c>
      <c r="F108" s="1" t="str">
        <f ca="1">IFERROR(__xludf.DUMMYFUNCTION("""COMPUTED_VALUE"""),"moehab_74")</f>
        <v>moehab_74</v>
      </c>
      <c r="G108" s="12" t="str">
        <f ca="1">IFERROR(__xludf.DUMMYFUNCTION("""COMPUTED_VALUE"""),"https://x.com/itsboda_74")</f>
        <v>https://x.com/itsboda_74</v>
      </c>
      <c r="H108" s="12" t="str">
        <f ca="1">IFERROR(__xludf.DUMMYFUNCTION("""COMPUTED_VALUE"""),"https://www.linkedin.com/in/mohamed-ehab74")</f>
        <v>https://www.linkedin.com/in/mohamed-ehab74</v>
      </c>
      <c r="I108" s="12" t="str">
        <f ca="1">IFERROR(__xludf.DUMMYFUNCTION("""COMPUTED_VALUE"""),"https://github.com/MoEhab74")</f>
        <v>https://github.com/MoEhab74</v>
      </c>
      <c r="J108" s="1"/>
      <c r="K108" s="1" t="str">
        <f ca="1">IFERROR(__xludf.DUMMYFUNCTION("""COMPUTED_VALUE"""),"Mansoura University")</f>
        <v>Mansoura University</v>
      </c>
      <c r="L108" s="1"/>
      <c r="M108" s="1" t="str">
        <f ca="1">IFERROR(__xludf.DUMMYFUNCTION("""COMPUTED_VALUE"""),"Faculty of Computer &amp; Information Science")</f>
        <v>Faculty of Computer &amp; Information Science</v>
      </c>
      <c r="N108" s="1"/>
      <c r="O108" s="1" t="str">
        <f ca="1">IFERROR(__xludf.DUMMYFUNCTION("""COMPUTED_VALUE"""),"2nd Year")</f>
        <v>2nd Year</v>
      </c>
      <c r="R108" s="1" t="s">
        <v>261</v>
      </c>
      <c r="S108" s="1" t="s">
        <v>173</v>
      </c>
    </row>
    <row r="109" spans="1:19">
      <c r="A109" s="1" t="str">
        <f ca="1">IFERROR(__xludf.DUMMYFUNCTION("""COMPUTED_VALUE"""),"mohamed mostafa elmorsy")</f>
        <v>mohamed mostafa elmorsy</v>
      </c>
      <c r="B109" s="1" t="str">
        <f ca="1">IFERROR(__xludf.DUMMYFUNCTION("""COMPUTED_VALUE"""),"mohamedelmesery2004@gmail.com")</f>
        <v>mohamedelmesery2004@gmail.com</v>
      </c>
      <c r="C109" s="1">
        <f ca="1">IFERROR(__xludf.DUMMYFUNCTION("""COMPUTED_VALUE"""),201020077263)</f>
        <v>201020077263</v>
      </c>
      <c r="D109" s="1" t="str">
        <f ca="1">IFERROR(__xludf.DUMMYFUNCTION("""COMPUTED_VALUE"""),"المنصوره حي الجامعه")</f>
        <v>المنصوره حي الجامعه</v>
      </c>
      <c r="E109" s="12" t="str">
        <f ca="1">IFERROR(__xludf.DUMMYFUNCTION("""COMPUTED_VALUE"""),"https://www.facebook.com/profile.php?id=100008035117559&amp;mibextid=ZbWKwL")</f>
        <v>https://www.facebook.com/profile.php?id=100008035117559&amp;mibextid=ZbWKwL</v>
      </c>
      <c r="F109" s="1" t="str">
        <f ca="1">IFERROR(__xludf.DUMMYFUNCTION("""COMPUTED_VALUE"""),"mohamedmostafa7140")</f>
        <v>mohamedmostafa7140</v>
      </c>
      <c r="G109" s="12" t="str">
        <f ca="1">IFERROR(__xludf.DUMMYFUNCTION("""COMPUTED_VALUE"""),"https://x.com/mohamedelmoorsy?t=OlvGaglM1k49zL3lix7XfQ&amp;s=09")</f>
        <v>https://x.com/mohamedelmoorsy?t=OlvGaglM1k49zL3lix7XfQ&amp;s=09</v>
      </c>
      <c r="H109" s="12" t="str">
        <f ca="1">IFERROR(__xludf.DUMMYFUNCTION("""COMPUTED_VALUE"""),"https://www.linkedin.com/in/mohamed-mostafa-625381255")</f>
        <v>https://www.linkedin.com/in/mohamed-mostafa-625381255</v>
      </c>
      <c r="I109" s="12" t="str">
        <f ca="1">IFERROR(__xludf.DUMMYFUNCTION("""COMPUTED_VALUE"""),"https://github.com/Mohamedelmesery2004")</f>
        <v>https://github.com/Mohamedelmesery2004</v>
      </c>
      <c r="J109" s="1"/>
      <c r="K109" s="1" t="str">
        <f ca="1">IFERROR(__xludf.DUMMYFUNCTION("""COMPUTED_VALUE"""),"Mansoura University")</f>
        <v>Mansoura University</v>
      </c>
      <c r="L109" s="1"/>
      <c r="M109" s="1" t="str">
        <f ca="1">IFERROR(__xludf.DUMMYFUNCTION("""COMPUTED_VALUE"""),"Faculty of Computer &amp; Information Science")</f>
        <v>Faculty of Computer &amp; Information Science</v>
      </c>
      <c r="N109" s="1"/>
      <c r="O109" s="1" t="str">
        <f ca="1">IFERROR(__xludf.DUMMYFUNCTION("""COMPUTED_VALUE"""),"3rd Year")</f>
        <v>3rd Year</v>
      </c>
      <c r="R109" s="1" t="s">
        <v>49</v>
      </c>
      <c r="S109" s="1" t="s">
        <v>170</v>
      </c>
    </row>
    <row r="110" spans="1:19">
      <c r="A110" s="1" t="str">
        <f ca="1">IFERROR(__xludf.DUMMYFUNCTION("""COMPUTED_VALUE"""),"Ziad abd El-Gawad ")</f>
        <v xml:space="preserve">Ziad abd El-Gawad </v>
      </c>
      <c r="B110" s="1" t="str">
        <f ca="1">IFERROR(__xludf.DUMMYFUNCTION("""COMPUTED_VALUE"""),"zm737733@gmail.com")</f>
        <v>zm737733@gmail.com</v>
      </c>
      <c r="C110" s="1">
        <f ca="1">IFERROR(__xludf.DUMMYFUNCTION("""COMPUTED_VALUE"""),201282990769)</f>
        <v>201282990769</v>
      </c>
      <c r="D110" s="1" t="str">
        <f ca="1">IFERROR(__xludf.DUMMYFUNCTION("""COMPUTED_VALUE"""),"المحلي الكبري ")</f>
        <v xml:space="preserve">المحلي الكبري </v>
      </c>
      <c r="E110" s="12" t="str">
        <f ca="1">IFERROR(__xludf.DUMMYFUNCTION("""COMPUTED_VALUE"""),"https://www.facebook.com/profile.php?id=100022101275827&amp;mibextid=ZbWKwL")</f>
        <v>https://www.facebook.com/profile.php?id=100022101275827&amp;mibextid=ZbWKwL</v>
      </c>
      <c r="F110" s="1" t="str">
        <f ca="1">IFERROR(__xludf.DUMMYFUNCTION("""COMPUTED_VALUE"""),"ziadabdelgawad")</f>
        <v>ziadabdelgawad</v>
      </c>
      <c r="G110" s="12" t="str">
        <f ca="1">IFERROR(__xludf.DUMMYFUNCTION("""COMPUTED_VALUE"""),"https://x.com/AbdZeyad44593?t=xG0U2YNy1c0BNZMj9hh83Q&amp;s=09")</f>
        <v>https://x.com/AbdZeyad44593?t=xG0U2YNy1c0BNZMj9hh83Q&amp;s=09</v>
      </c>
      <c r="H110" s="12" t="str">
        <f ca="1">IFERROR(__xludf.DUMMYFUNCTION("""COMPUTED_VALUE"""),"https://www.linkedin.com/in/zeyad-mohamed-616869321?utm_source=share&amp;utm_campaign=share_via&amp;utm_content=profile&amp;utm_medium=android_app")</f>
        <v>https://www.linkedin.com/in/zeyad-mohamed-616869321?utm_source=share&amp;utm_campaign=share_via&amp;utm_content=profile&amp;utm_medium=android_app</v>
      </c>
      <c r="I110" s="1"/>
      <c r="J110" s="1"/>
      <c r="K110" s="1" t="str">
        <f ca="1">IFERROR(__xludf.DUMMYFUNCTION("""COMPUTED_VALUE"""),"Mansoura University")</f>
        <v>Mansoura University</v>
      </c>
      <c r="L110" s="1"/>
      <c r="M110" s="1" t="str">
        <f ca="1">IFERROR(__xludf.DUMMYFUNCTION("""COMPUTED_VALUE"""),"Faculty of Computer &amp; Information Science")</f>
        <v>Faculty of Computer &amp; Information Science</v>
      </c>
      <c r="N110" s="1"/>
      <c r="O110" s="1" t="str">
        <f ca="1">IFERROR(__xludf.DUMMYFUNCTION("""COMPUTED_VALUE"""),"2nd Year")</f>
        <v>2nd Year</v>
      </c>
      <c r="R110" s="1" t="s">
        <v>262</v>
      </c>
      <c r="S110" s="1" t="s">
        <v>173</v>
      </c>
    </row>
    <row r="111" spans="1:19">
      <c r="A111" s="1" t="str">
        <f ca="1">IFERROR(__xludf.DUMMYFUNCTION("""COMPUTED_VALUE"""),"MayarSaberAbdelsatar")</f>
        <v>MayarSaberAbdelsatar</v>
      </c>
      <c r="B111" s="1" t="str">
        <f ca="1">IFERROR(__xludf.DUMMYFUNCTION("""COMPUTED_VALUE"""),"mayarsaber74@gmail.com")</f>
        <v>mayarsaber74@gmail.com</v>
      </c>
      <c r="C111" s="1">
        <f ca="1">IFERROR(__xludf.DUMMYFUNCTION("""COMPUTED_VALUE"""),201125133739)</f>
        <v>201125133739</v>
      </c>
      <c r="D111" s="1" t="str">
        <f ca="1">IFERROR(__xludf.DUMMYFUNCTION("""COMPUTED_VALUE"""),"Elmansoura")</f>
        <v>Elmansoura</v>
      </c>
      <c r="E111" s="12" t="str">
        <f ca="1">IFERROR(__xludf.DUMMYFUNCTION("""COMPUTED_VALUE"""),"www.facebook.com")</f>
        <v>www.facebook.com</v>
      </c>
      <c r="F111" s="12" t="str">
        <f ca="1">IFERROR(__xludf.DUMMYFUNCTION("""COMPUTED_VALUE"""),"www.discord.com")</f>
        <v>www.discord.com</v>
      </c>
      <c r="G111" s="12" t="str">
        <f ca="1">IFERROR(__xludf.DUMMYFUNCTION("""COMPUTED_VALUE"""),"https://x.com/Mayar_Saber2?t=MBTltCgdszTPAVrEBQRyBw&amp;s=09")</f>
        <v>https://x.com/Mayar_Saber2?t=MBTltCgdszTPAVrEBQRyBw&amp;s=09</v>
      </c>
      <c r="H111" s="12" t="str">
        <f ca="1">IFERROR(__xludf.DUMMYFUNCTION("""COMPUTED_VALUE"""),"https://www.linkedin.com/in/mayar-saber-0067aa332?utm_source=share&amp;utm_campaign=share_via&amp;utm_content=profile&amp;utm_medium=android_app")</f>
        <v>https://www.linkedin.com/in/mayar-saber-0067aa332?utm_source=share&amp;utm_campaign=share_via&amp;utm_content=profile&amp;utm_medium=android_app</v>
      </c>
      <c r="I111" s="1"/>
      <c r="J111" s="1"/>
      <c r="K111" s="1" t="str">
        <f ca="1">IFERROR(__xludf.DUMMYFUNCTION("""COMPUTED_VALUE"""),"Mansoura University")</f>
        <v>Mansoura University</v>
      </c>
      <c r="L111" s="1"/>
      <c r="M111" s="1" t="str">
        <f ca="1">IFERROR(__xludf.DUMMYFUNCTION("""COMPUTED_VALUE"""),"Faculty of Computer &amp; Information Science")</f>
        <v>Faculty of Computer &amp; Information Science</v>
      </c>
      <c r="N111" s="1"/>
      <c r="O111" s="1" t="str">
        <f ca="1">IFERROR(__xludf.DUMMYFUNCTION("""COMPUTED_VALUE"""),"1st Year")</f>
        <v>1st Year</v>
      </c>
      <c r="R111" s="1" t="s">
        <v>263</v>
      </c>
      <c r="S111" s="1" t="s">
        <v>176</v>
      </c>
    </row>
    <row r="112" spans="1:19">
      <c r="A112" s="1" t="str">
        <f ca="1">IFERROR(__xludf.DUMMYFUNCTION("""COMPUTED_VALUE"""),"Mohamed Taha Abdelrahman Elkholy")</f>
        <v>Mohamed Taha Abdelrahman Elkholy</v>
      </c>
      <c r="B112" s="1" t="str">
        <f ca="1">IFERROR(__xludf.DUMMYFUNCTION("""COMPUTED_VALUE"""),"Mohamedelkholy2357@gmail.com")</f>
        <v>Mohamedelkholy2357@gmail.com</v>
      </c>
      <c r="C112" s="1">
        <f ca="1">IFERROR(__xludf.DUMMYFUNCTION("""COMPUTED_VALUE"""),201064217845)</f>
        <v>201064217845</v>
      </c>
      <c r="D112" s="1" t="str">
        <f ca="1">IFERROR(__xludf.DUMMYFUNCTION("""COMPUTED_VALUE"""),"Mansoura")</f>
        <v>Mansoura</v>
      </c>
      <c r="E112" s="12" t="str">
        <f ca="1">IFERROR(__xludf.DUMMYFUNCTION("""COMPUTED_VALUE"""),"https://web.facebook.com/profile.php?id=100007729814577")</f>
        <v>https://web.facebook.com/profile.php?id=100007729814577</v>
      </c>
      <c r="F112" s="1" t="str">
        <f ca="1">IFERROR(__xludf.DUMMYFUNCTION("""COMPUTED_VALUE"""),"mohamed_taha")</f>
        <v>mohamed_taha</v>
      </c>
      <c r="G112" s="1"/>
      <c r="H112" s="12" t="str">
        <f ca="1">IFERROR(__xludf.DUMMYFUNCTION("""COMPUTED_VALUE"""),"www.linkedin.com/in/mohamed-taha-057422287")</f>
        <v>www.linkedin.com/in/mohamed-taha-057422287</v>
      </c>
      <c r="I112" s="1"/>
      <c r="J112" s="12" t="str">
        <f ca="1">IFERROR(__xludf.DUMMYFUNCTION("""COMPUTED_VALUE"""),"https://www.behance.net/mohamedelkholy38")</f>
        <v>https://www.behance.net/mohamedelkholy38</v>
      </c>
      <c r="K112" s="1" t="str">
        <f ca="1">IFERROR(__xludf.DUMMYFUNCTION("""COMPUTED_VALUE"""),"Mansoura University")</f>
        <v>Mansoura University</v>
      </c>
      <c r="L112" s="1"/>
      <c r="M112" s="1" t="str">
        <f ca="1">IFERROR(__xludf.DUMMYFUNCTION("""COMPUTED_VALUE"""),"Faculty of Science")</f>
        <v>Faculty of Science</v>
      </c>
      <c r="N112" s="1"/>
      <c r="O112" s="1" t="str">
        <f ca="1">IFERROR(__xludf.DUMMYFUNCTION("""COMPUTED_VALUE"""),"2nd Year")</f>
        <v>2nd Year</v>
      </c>
      <c r="R112" s="1" t="s">
        <v>264</v>
      </c>
      <c r="S112" s="1" t="s">
        <v>173</v>
      </c>
    </row>
    <row r="113" spans="1:19">
      <c r="A113" s="1" t="str">
        <f ca="1">IFERROR(__xludf.DUMMYFUNCTION("""COMPUTED_VALUE"""),"Mohamed Elnegomy")</f>
        <v>Mohamed Elnegomy</v>
      </c>
      <c r="B113" s="1" t="str">
        <f ca="1">IFERROR(__xludf.DUMMYFUNCTION("""COMPUTED_VALUE"""),"melnegomy@gmail.com")</f>
        <v>melnegomy@gmail.com</v>
      </c>
      <c r="C113" s="1">
        <f ca="1">IFERROR(__xludf.DUMMYFUNCTION("""COMPUTED_VALUE"""),201090036254)</f>
        <v>201090036254</v>
      </c>
      <c r="D113" s="1" t="str">
        <f ca="1">IFERROR(__xludf.DUMMYFUNCTION("""COMPUTED_VALUE"""),"Mansoura City")</f>
        <v>Mansoura City</v>
      </c>
      <c r="E113" s="12" t="str">
        <f ca="1">IFERROR(__xludf.DUMMYFUNCTION("""COMPUTED_VALUE"""),"https://www.facebook.com/share/17HuC6FAj3/")</f>
        <v>https://www.facebook.com/share/17HuC6FAj3/</v>
      </c>
      <c r="F113" s="1" t="str">
        <f ca="1">IFERROR(__xludf.DUMMYFUNCTION("""COMPUTED_VALUE"""),"mohammedelnogomy")</f>
        <v>mohammedelnogomy</v>
      </c>
      <c r="G113" s="1"/>
      <c r="H113" s="1"/>
      <c r="I113" s="1"/>
      <c r="J113" s="1"/>
      <c r="K113" s="1" t="str">
        <f ca="1">IFERROR(__xludf.DUMMYFUNCTION("""COMPUTED_VALUE"""),"Mansoura University")</f>
        <v>Mansoura University</v>
      </c>
      <c r="L113" s="1"/>
      <c r="M113" s="1" t="str">
        <f ca="1">IFERROR(__xludf.DUMMYFUNCTION("""COMPUTED_VALUE"""),"Faculty of Computer &amp; Information Science")</f>
        <v>Faculty of Computer &amp; Information Science</v>
      </c>
      <c r="N113" s="1"/>
      <c r="O113" s="1" t="str">
        <f ca="1">IFERROR(__xludf.DUMMYFUNCTION("""COMPUTED_VALUE"""),"2nd Year")</f>
        <v>2nd Year</v>
      </c>
      <c r="R113" s="1" t="s">
        <v>265</v>
      </c>
      <c r="S113" s="1" t="s">
        <v>173</v>
      </c>
    </row>
    <row r="114" spans="1:19">
      <c r="A114" s="1" t="str">
        <f ca="1">IFERROR(__xludf.DUMMYFUNCTION("""COMPUTED_VALUE"""),"Hagar Mohamed ")</f>
        <v xml:space="preserve">Hagar Mohamed </v>
      </c>
      <c r="B114" s="1" t="str">
        <f ca="1">IFERROR(__xludf.DUMMYFUNCTION("""COMPUTED_VALUE"""),"hagarmoh553@gmail.com")</f>
        <v>hagarmoh553@gmail.com</v>
      </c>
      <c r="C114" s="1">
        <f ca="1">IFERROR(__xludf.DUMMYFUNCTION("""COMPUTED_VALUE"""),201270245212)</f>
        <v>201270245212</v>
      </c>
      <c r="D114" s="1" t="str">
        <f ca="1">IFERROR(__xludf.DUMMYFUNCTION("""COMPUTED_VALUE"""),"الديرس مركز اجا الدقهليه ")</f>
        <v xml:space="preserve">الديرس مركز اجا الدقهليه </v>
      </c>
      <c r="E114" s="12" t="str">
        <f ca="1">IFERROR(__xludf.DUMMYFUNCTION("""COMPUTED_VALUE"""),"https://www.facebook.com/profile.php?id=100024984033394&amp;mibextid=ZbWKwL")</f>
        <v>https://www.facebook.com/profile.php?id=100024984033394&amp;mibextid=ZbWKwL</v>
      </c>
      <c r="F114" s="12" t="str">
        <f ca="1">IFERROR(__xludf.DUMMYFUNCTION("""COMPUTED_VALUE"""),"https://www.facebook.com/profile.php?id=100024984033394&amp;mibextid=ZbWKwL")</f>
        <v>https://www.facebook.com/profile.php?id=100024984033394&amp;mibextid=ZbWKwL</v>
      </c>
      <c r="G114" s="12" t="str">
        <f ca="1">IFERROR(__xludf.DUMMYFUNCTION("""COMPUTED_VALUE"""),"https://www.facebook.com/profile.php?id=100024984033394&amp;mibextid=ZbWKwL")</f>
        <v>https://www.facebook.com/profile.php?id=100024984033394&amp;mibextid=ZbWKwL</v>
      </c>
      <c r="H114" s="12" t="str">
        <f ca="1">IFERROR(__xludf.DUMMYFUNCTION("""COMPUTED_VALUE"""),"https://www.facebook.com/profile.php?id=100024984033394&amp;mibextid=ZbWKwL")</f>
        <v>https://www.facebook.com/profile.php?id=100024984033394&amp;mibextid=ZbWKwL</v>
      </c>
      <c r="I114" s="12" t="str">
        <f ca="1">IFERROR(__xludf.DUMMYFUNCTION("""COMPUTED_VALUE"""),"https://www.facebook.com/profile.php?id=100024984033394&amp;mibextid=ZbWKwL")</f>
        <v>https://www.facebook.com/profile.php?id=100024984033394&amp;mibextid=ZbWKwL</v>
      </c>
      <c r="J114" s="12" t="str">
        <f ca="1">IFERROR(__xludf.DUMMYFUNCTION("""COMPUTED_VALUE"""),"https://www.facebook.com/profile.php?id=100024984033394&amp;mibextid=ZbWKwL")</f>
        <v>https://www.facebook.com/profile.php?id=100024984033394&amp;mibextid=ZbWKwL</v>
      </c>
      <c r="K114" s="1" t="str">
        <f ca="1">IFERROR(__xludf.DUMMYFUNCTION("""COMPUTED_VALUE"""),"Mansoura University")</f>
        <v>Mansoura University</v>
      </c>
      <c r="L114" s="1"/>
      <c r="M114" s="1" t="str">
        <f ca="1">IFERROR(__xludf.DUMMYFUNCTION("""COMPUTED_VALUE"""),"Other")</f>
        <v>Other</v>
      </c>
      <c r="N114" s="1" t="str">
        <f ca="1">IFERROR(__xludf.DUMMYFUNCTION("""COMPUTED_VALUE""")," تربيه  قسم رياضه عام")</f>
        <v xml:space="preserve"> تربيه  قسم رياضه عام</v>
      </c>
      <c r="O114" s="1" t="str">
        <f ca="1">IFERROR(__xludf.DUMMYFUNCTION("""COMPUTED_VALUE"""),"Prep Year (Engineering students)")</f>
        <v>Prep Year (Engineering students)</v>
      </c>
      <c r="R114" s="1" t="s">
        <v>266</v>
      </c>
      <c r="S114" s="1" t="s">
        <v>169</v>
      </c>
    </row>
    <row r="115" spans="1:19">
      <c r="A115" s="1" t="str">
        <f ca="1">IFERROR(__xludf.DUMMYFUNCTION("""COMPUTED_VALUE"""),"Nada Essam Mohamed")</f>
        <v>Nada Essam Mohamed</v>
      </c>
      <c r="B115" s="1" t="str">
        <f ca="1">IFERROR(__xludf.DUMMYFUNCTION("""COMPUTED_VALUE"""),"dodoesam2010@gmail.com")</f>
        <v>dodoesam2010@gmail.com</v>
      </c>
      <c r="C115" s="1">
        <f ca="1">IFERROR(__xludf.DUMMYFUNCTION("""COMPUTED_VALUE"""),201011238276)</f>
        <v>201011238276</v>
      </c>
      <c r="D115" s="1" t="str">
        <f ca="1">IFERROR(__xludf.DUMMYFUNCTION("""COMPUTED_VALUE"""),"Talkha")</f>
        <v>Talkha</v>
      </c>
      <c r="E115" s="12" t="str">
        <f ca="1">IFERROR(__xludf.DUMMYFUNCTION("""COMPUTED_VALUE"""),"https://www.facebook.com/Nada.Esam.0?mibextid=ZbWKwL")</f>
        <v>https://www.facebook.com/Nada.Esam.0?mibextid=ZbWKwL</v>
      </c>
      <c r="F115" s="1" t="str">
        <f ca="1">IFERROR(__xludf.DUMMYFUNCTION("""COMPUTED_VALUE"""),"nadaessam00")</f>
        <v>nadaessam00</v>
      </c>
      <c r="G115" s="1"/>
      <c r="H115" s="12" t="str">
        <f ca="1">IFERROR(__xludf.DUMMYFUNCTION("""COMPUTED_VALUE"""),"http://www.linkedin.com/in/nada-essam-93b371320")</f>
        <v>http://www.linkedin.com/in/nada-essam-93b371320</v>
      </c>
      <c r="I115" s="1"/>
      <c r="J115" s="1"/>
      <c r="K115" s="1" t="str">
        <f ca="1">IFERROR(__xludf.DUMMYFUNCTION("""COMPUTED_VALUE"""),"Mansoura University")</f>
        <v>Mansoura University</v>
      </c>
      <c r="L115" s="1"/>
      <c r="M115" s="1" t="str">
        <f ca="1">IFERROR(__xludf.DUMMYFUNCTION("""COMPUTED_VALUE"""),"Faculty of Computer &amp; Information Science")</f>
        <v>Faculty of Computer &amp; Information Science</v>
      </c>
      <c r="N115" s="1"/>
      <c r="O115" s="1" t="str">
        <f ca="1">IFERROR(__xludf.DUMMYFUNCTION("""COMPUTED_VALUE"""),"2nd Year")</f>
        <v>2nd Year</v>
      </c>
      <c r="R115" s="1" t="s">
        <v>267</v>
      </c>
      <c r="S115" s="1" t="s">
        <v>173</v>
      </c>
    </row>
    <row r="116" spans="1:19">
      <c r="A116" s="1" t="str">
        <f ca="1">IFERROR(__xludf.DUMMYFUNCTION("""COMPUTED_VALUE"""),"Shahd Ayman")</f>
        <v>Shahd Ayman</v>
      </c>
      <c r="B116" s="1" t="str">
        <f ca="1">IFERROR(__xludf.DUMMYFUNCTION("""COMPUTED_VALUE"""),"shahdayman315315@gmail.com")</f>
        <v>shahdayman315315@gmail.com</v>
      </c>
      <c r="C116" s="1">
        <f ca="1">IFERROR(__xludf.DUMMYFUNCTION("""COMPUTED_VALUE"""),201002432961)</f>
        <v>201002432961</v>
      </c>
      <c r="D116" s="1" t="str">
        <f ca="1">IFERROR(__xludf.DUMMYFUNCTION("""COMPUTED_VALUE"""),"Mansoura ")</f>
        <v xml:space="preserve">Mansoura </v>
      </c>
      <c r="E116" s="12" t="str">
        <f ca="1">IFERROR(__xludf.DUMMYFUNCTION("""COMPUTED_VALUE"""),"https://www.facebook.com/shahd.ayman.520900?mibextid=ZbWKwL")</f>
        <v>https://www.facebook.com/shahd.ayman.520900?mibextid=ZbWKwL</v>
      </c>
      <c r="F116" s="1" t="str">
        <f ca="1">IFERROR(__xludf.DUMMYFUNCTION("""COMPUTED_VALUE"""),"shahd_315")</f>
        <v>shahd_315</v>
      </c>
      <c r="G116" s="1"/>
      <c r="H116" s="12" t="str">
        <f ca="1">IFERROR(__xludf.DUMMYFUNCTION("""COMPUTED_VALUE"""),"https://www.linkedin.com/in/shahd-ayman-126544337?utm_source=share&amp;utm_campaign=share_via&amp;utm_content=profile&amp;utm_medium=android_app")</f>
        <v>https://www.linkedin.com/in/shahd-ayman-126544337?utm_source=share&amp;utm_campaign=share_via&amp;utm_content=profile&amp;utm_medium=android_app</v>
      </c>
      <c r="I116" s="12" t="str">
        <f ca="1">IFERROR(__xludf.DUMMYFUNCTION("""COMPUTED_VALUE"""),"https://github.com/shahdayman315315")</f>
        <v>https://github.com/shahdayman315315</v>
      </c>
      <c r="J116" s="12" t="str">
        <f ca="1">IFERROR(__xludf.DUMMYFUNCTION("""COMPUTED_VALUE"""),"https://www.behance.net/shahdayman39")</f>
        <v>https://www.behance.net/shahdayman39</v>
      </c>
      <c r="K116" s="1" t="str">
        <f ca="1">IFERROR(__xludf.DUMMYFUNCTION("""COMPUTED_VALUE"""),"Mansoura University")</f>
        <v>Mansoura University</v>
      </c>
      <c r="L116" s="1"/>
      <c r="M116" s="1" t="str">
        <f ca="1">IFERROR(__xludf.DUMMYFUNCTION("""COMPUTED_VALUE"""),"Faculty of Computer &amp; Information Science")</f>
        <v>Faculty of Computer &amp; Information Science</v>
      </c>
      <c r="N116" s="1"/>
      <c r="O116" s="1" t="str">
        <f ca="1">IFERROR(__xludf.DUMMYFUNCTION("""COMPUTED_VALUE"""),"2nd Year")</f>
        <v>2nd Year</v>
      </c>
      <c r="R116" s="1" t="s">
        <v>44</v>
      </c>
      <c r="S116" s="1" t="s">
        <v>173</v>
      </c>
    </row>
    <row r="117" spans="1:19">
      <c r="A117" s="1" t="str">
        <f ca="1">IFERROR(__xludf.DUMMYFUNCTION("""COMPUTED_VALUE"""),"Ahmed Gamal")</f>
        <v>Ahmed Gamal</v>
      </c>
      <c r="B117" s="1" t="str">
        <f ca="1">IFERROR(__xludf.DUMMYFUNCTION("""COMPUTED_VALUE"""),"stegen498@gmail.com")</f>
        <v>stegen498@gmail.com</v>
      </c>
      <c r="C117" s="1">
        <f ca="1">IFERROR(__xludf.DUMMYFUNCTION("""COMPUTED_VALUE"""),201022667059)</f>
        <v>201022667059</v>
      </c>
      <c r="D117" s="1" t="str">
        <f ca="1">IFERROR(__xludf.DUMMYFUNCTION("""COMPUTED_VALUE"""),"Tanta")</f>
        <v>Tanta</v>
      </c>
      <c r="E117" s="12" t="str">
        <f ca="1">IFERROR(__xludf.DUMMYFUNCTION("""COMPUTED_VALUE"""),"https://www.facebook.com/share/1AaA2K3zES/")</f>
        <v>https://www.facebook.com/share/1AaA2K3zES/</v>
      </c>
      <c r="F117" s="1" t="str">
        <f ca="1">IFERROR(__xludf.DUMMYFUNCTION("""COMPUTED_VALUE"""),"none")</f>
        <v>none</v>
      </c>
      <c r="G117" s="1"/>
      <c r="H117" s="12" t="str">
        <f ca="1">IFERROR(__xludf.DUMMYFUNCTION("""COMPUTED_VALUE"""),"https://www.linkedin.com/in/ter-stegen-b24324321")</f>
        <v>https://www.linkedin.com/in/ter-stegen-b24324321</v>
      </c>
      <c r="I117" s="12" t="str">
        <f ca="1">IFERROR(__xludf.DUMMYFUNCTION("""COMPUTED_VALUE"""),"https://github.com/Tertegen2004")</f>
        <v>https://github.com/Tertegen2004</v>
      </c>
      <c r="J117" s="1"/>
      <c r="K117" s="1" t="str">
        <f ca="1">IFERROR(__xludf.DUMMYFUNCTION("""COMPUTED_VALUE"""),"Tanta University")</f>
        <v>Tanta University</v>
      </c>
      <c r="L117" s="1"/>
      <c r="M117" s="1" t="str">
        <f ca="1">IFERROR(__xludf.DUMMYFUNCTION("""COMPUTED_VALUE"""),"Faculty of Computer &amp; Information Science")</f>
        <v>Faculty of Computer &amp; Information Science</v>
      </c>
      <c r="N117" s="1"/>
      <c r="O117" s="1" t="str">
        <f ca="1">IFERROR(__xludf.DUMMYFUNCTION("""COMPUTED_VALUE"""),"3rd Year")</f>
        <v>3rd Year</v>
      </c>
      <c r="R117" s="1" t="s">
        <v>31</v>
      </c>
      <c r="S117" s="1" t="s">
        <v>170</v>
      </c>
    </row>
    <row r="118" spans="1:19">
      <c r="A118" s="1" t="str">
        <f ca="1">IFERROR(__xludf.DUMMYFUNCTION("""COMPUTED_VALUE"""),"Shams mohammed ")</f>
        <v xml:space="preserve">Shams mohammed </v>
      </c>
      <c r="B118" s="1" t="str">
        <f ca="1">IFERROR(__xludf.DUMMYFUNCTION("""COMPUTED_VALUE"""),"shamsmo195@gmail.com")</f>
        <v>shamsmo195@gmail.com</v>
      </c>
      <c r="C118" s="1">
        <f ca="1">IFERROR(__xludf.DUMMYFUNCTION("""COMPUTED_VALUE"""),201201363548)</f>
        <v>201201363548</v>
      </c>
      <c r="D118" s="1" t="str">
        <f ca="1">IFERROR(__xludf.DUMMYFUNCTION("""COMPUTED_VALUE"""),"المنصورة")</f>
        <v>المنصورة</v>
      </c>
      <c r="E118" s="12" t="str">
        <f ca="1">IFERROR(__xludf.DUMMYFUNCTION("""COMPUTED_VALUE"""),"https://www.facebook.com/shams.mohammed.50309277?mibextid=ZbWKwL")</f>
        <v>https://www.facebook.com/shams.mohammed.50309277?mibextid=ZbWKwL</v>
      </c>
      <c r="F118" s="1" t="str">
        <f ca="1">IFERROR(__xludf.DUMMYFUNCTION("""COMPUTED_VALUE"""),"shamss0451_43355")</f>
        <v>shamss0451_43355</v>
      </c>
      <c r="G118" s="1"/>
      <c r="H118" s="12" t="str">
        <f ca="1">IFERROR(__xludf.DUMMYFUNCTION("""COMPUTED_VALUE"""),"https://www.linkedin.com/in/shams-mohammed-085570330?utm_source=share&amp;utm_campaign=share_via&amp;utm_content=profile&amp;utm_medium=android_app")</f>
        <v>https://www.linkedin.com/in/shams-mohammed-085570330?utm_source=share&amp;utm_campaign=share_via&amp;utm_content=profile&amp;utm_medium=android_app</v>
      </c>
      <c r="I118" s="12" t="str">
        <f ca="1">IFERROR(__xludf.DUMMYFUNCTION("""COMPUTED_VALUE"""),"https://github.com/about")</f>
        <v>https://github.com/about</v>
      </c>
      <c r="J118" s="1"/>
      <c r="K118" s="1" t="str">
        <f ca="1">IFERROR(__xludf.DUMMYFUNCTION("""COMPUTED_VALUE"""),"Mansoura University")</f>
        <v>Mansoura University</v>
      </c>
      <c r="L118" s="1"/>
      <c r="M118" s="1" t="str">
        <f ca="1">IFERROR(__xludf.DUMMYFUNCTION("""COMPUTED_VALUE"""),"Faculty of Computer &amp; Information Science")</f>
        <v>Faculty of Computer &amp; Information Science</v>
      </c>
      <c r="N118" s="1"/>
      <c r="O118" s="1" t="str">
        <f ca="1">IFERROR(__xludf.DUMMYFUNCTION("""COMPUTED_VALUE"""),"2nd Year")</f>
        <v>2nd Year</v>
      </c>
      <c r="R118" s="1" t="s">
        <v>268</v>
      </c>
      <c r="S118" s="1" t="s">
        <v>173</v>
      </c>
    </row>
    <row r="119" spans="1:19">
      <c r="A119" s="1" t="str">
        <f ca="1">IFERROR(__xludf.DUMMYFUNCTION("""COMPUTED_VALUE"""),"Ammar yasser")</f>
        <v>Ammar yasser</v>
      </c>
      <c r="B119" s="1" t="str">
        <f ca="1">IFERROR(__xludf.DUMMYFUNCTION("""COMPUTED_VALUE"""),"yammar4@yahoo.com")</f>
        <v>yammar4@yahoo.com</v>
      </c>
      <c r="C119" s="1">
        <f ca="1">IFERROR(__xludf.DUMMYFUNCTION("""COMPUTED_VALUE"""),201067016765)</f>
        <v>201067016765</v>
      </c>
      <c r="D119" s="1" t="str">
        <f ca="1">IFERROR(__xludf.DUMMYFUNCTION("""COMPUTED_VALUE"""),"Mansoura")</f>
        <v>Mansoura</v>
      </c>
      <c r="E119" s="12" t="str">
        <f ca="1">IFERROR(__xludf.DUMMYFUNCTION("""COMPUTED_VALUE"""),"https://www.facebook.com/profile.php?id=100052577115537&amp;mibextid=rS40aB7S9Ucbxw6v")</f>
        <v>https://www.facebook.com/profile.php?id=100052577115537&amp;mibextid=rS40aB7S9Ucbxw6v</v>
      </c>
      <c r="F119" s="12" t="str">
        <f ca="1">IFERROR(__xludf.DUMMYFUNCTION("""COMPUTED_VALUE"""),"discordapp.com/users/1202687550347812904")</f>
        <v>discordapp.com/users/1202687550347812904</v>
      </c>
      <c r="G119" s="12" t="str">
        <f ca="1">IFERROR(__xludf.DUMMYFUNCTION("""COMPUTED_VALUE"""),"https://x.com/Am_mar77")</f>
        <v>https://x.com/Am_mar77</v>
      </c>
      <c r="H119" s="12" t="str">
        <f ca="1">IFERROR(__xludf.DUMMYFUNCTION("""COMPUTED_VALUE"""),"https://www.linkedin.com/in/ammar-yasser-a93684216/")</f>
        <v>https://www.linkedin.com/in/ammar-yasser-a93684216/</v>
      </c>
      <c r="I119" s="12" t="str">
        <f ca="1">IFERROR(__xludf.DUMMYFUNCTION("""COMPUTED_VALUE"""),"https://github.com/Ammar10000")</f>
        <v>https://github.com/Ammar10000</v>
      </c>
      <c r="J119" s="12" t="str">
        <f ca="1">IFERROR(__xludf.DUMMYFUNCTION("""COMPUTED_VALUE"""),"https://www.behance.net/ammaryasser138")</f>
        <v>https://www.behance.net/ammaryasser138</v>
      </c>
      <c r="K119" s="1" t="str">
        <f ca="1">IFERROR(__xludf.DUMMYFUNCTION("""COMPUTED_VALUE"""),"Mansoura University")</f>
        <v>Mansoura University</v>
      </c>
      <c r="L119" s="1"/>
      <c r="M119" s="1" t="str">
        <f ca="1">IFERROR(__xludf.DUMMYFUNCTION("""COMPUTED_VALUE"""),"Faculty of Computer &amp; Information Science")</f>
        <v>Faculty of Computer &amp; Information Science</v>
      </c>
      <c r="N119" s="1"/>
      <c r="O119" s="1" t="str">
        <f ca="1">IFERROR(__xludf.DUMMYFUNCTION("""COMPUTED_VALUE"""),"2nd Year")</f>
        <v>2nd Year</v>
      </c>
      <c r="R119" s="1" t="s">
        <v>269</v>
      </c>
      <c r="S119" s="1" t="s">
        <v>173</v>
      </c>
    </row>
    <row r="120" spans="1:19">
      <c r="A120" s="1" t="str">
        <f ca="1">IFERROR(__xludf.DUMMYFUNCTION("""COMPUTED_VALUE"""),"Khaled Nader Hegazy")</f>
        <v>Khaled Nader Hegazy</v>
      </c>
      <c r="B120" s="1" t="str">
        <f ca="1">IFERROR(__xludf.DUMMYFUNCTION("""COMPUTED_VALUE"""),"khaledhegazy0120@gmail.com")</f>
        <v>khaledhegazy0120@gmail.com</v>
      </c>
      <c r="C120" s="1">
        <f ca="1">IFERROR(__xludf.DUMMYFUNCTION("""COMPUTED_VALUE"""),201554267650)</f>
        <v>201554267650</v>
      </c>
      <c r="D120" s="1" t="str">
        <f ca="1">IFERROR(__xludf.DUMMYFUNCTION("""COMPUTED_VALUE"""),"EL Mahalla ")</f>
        <v xml:space="preserve">EL Mahalla </v>
      </c>
      <c r="E120" s="12" t="str">
        <f ca="1">IFERROR(__xludf.DUMMYFUNCTION("""COMPUTED_VALUE"""),"https://www.facebook.com/profile.php?id=100017434952431&amp;mibextid=ZbWKwL")</f>
        <v>https://www.facebook.com/profile.php?id=100017434952431&amp;mibextid=ZbWKwL</v>
      </c>
      <c r="F120" s="1" t="str">
        <f ca="1">IFERROR(__xludf.DUMMYFUNCTION("""COMPUTED_VALUE"""),"khaledhegazy.")</f>
        <v>khaledhegazy.</v>
      </c>
      <c r="G120" s="1"/>
      <c r="H120" s="1"/>
      <c r="I120" s="1"/>
      <c r="J120" s="1"/>
      <c r="K120" s="1" t="str">
        <f ca="1">IFERROR(__xludf.DUMMYFUNCTION("""COMPUTED_VALUE"""),"Tanta University")</f>
        <v>Tanta University</v>
      </c>
      <c r="L120" s="1"/>
      <c r="M120" s="1" t="str">
        <f ca="1">IFERROR(__xludf.DUMMYFUNCTION("""COMPUTED_VALUE"""),"Faculty of Computer &amp; Information Science")</f>
        <v>Faculty of Computer &amp; Information Science</v>
      </c>
      <c r="N120" s="1"/>
      <c r="O120" s="1" t="str">
        <f ca="1">IFERROR(__xludf.DUMMYFUNCTION("""COMPUTED_VALUE"""),"2nd Year")</f>
        <v>2nd Year</v>
      </c>
      <c r="R120" s="1" t="s">
        <v>270</v>
      </c>
      <c r="S120" s="1" t="s">
        <v>173</v>
      </c>
    </row>
    <row r="121" spans="1:19">
      <c r="A121" s="1" t="str">
        <f ca="1">IFERROR(__xludf.DUMMYFUNCTION("""COMPUTED_VALUE"""),"Omar Ashraf")</f>
        <v>Omar Ashraf</v>
      </c>
      <c r="B121" s="1" t="str">
        <f ca="1">IFERROR(__xludf.DUMMYFUNCTION("""COMPUTED_VALUE"""),"omarww959@gmail.com")</f>
        <v>omarww959@gmail.com</v>
      </c>
      <c r="C121" s="1">
        <f ca="1">IFERROR(__xludf.DUMMYFUNCTION("""COMPUTED_VALUE"""),201229969705)</f>
        <v>201229969705</v>
      </c>
      <c r="D121" s="1" t="str">
        <f ca="1">IFERROR(__xludf.DUMMYFUNCTION("""COMPUTED_VALUE"""),"Tanah")</f>
        <v>Tanah</v>
      </c>
      <c r="E121" s="12" t="str">
        <f ca="1">IFERROR(__xludf.DUMMYFUNCTION("""COMPUTED_VALUE"""),"https://www.facebook.com/profile.php?id=100011038352640&amp;mibextid=LQQJ4d")</f>
        <v>https://www.facebook.com/profile.php?id=100011038352640&amp;mibextid=LQQJ4d</v>
      </c>
      <c r="F121" s="1" t="str">
        <f ca="1">IFERROR(__xludf.DUMMYFUNCTION("""COMPUTED_VALUE"""),"Omarash0471")</f>
        <v>Omarash0471</v>
      </c>
      <c r="G121" s="1"/>
      <c r="H121" s="1"/>
      <c r="I121" s="1"/>
      <c r="J121" s="1"/>
      <c r="K121" s="1" t="str">
        <f ca="1">IFERROR(__xludf.DUMMYFUNCTION("""COMPUTED_VALUE"""),"Mansoura University")</f>
        <v>Mansoura University</v>
      </c>
      <c r="L121" s="1"/>
      <c r="M121" s="1" t="str">
        <f ca="1">IFERROR(__xludf.DUMMYFUNCTION("""COMPUTED_VALUE"""),"Faculty of Computer &amp; Information Science")</f>
        <v>Faculty of Computer &amp; Information Science</v>
      </c>
      <c r="N121" s="1"/>
      <c r="O121" s="1" t="str">
        <f ca="1">IFERROR(__xludf.DUMMYFUNCTION("""COMPUTED_VALUE"""),"2nd Year")</f>
        <v>2nd Year</v>
      </c>
      <c r="R121" s="1" t="s">
        <v>271</v>
      </c>
      <c r="S121" s="1" t="s">
        <v>173</v>
      </c>
    </row>
    <row r="122" spans="1:19">
      <c r="A122" s="1" t="str">
        <f ca="1">IFERROR(__xludf.DUMMYFUNCTION("""COMPUTED_VALUE"""),"Rawan wael mohamed abd elhamid")</f>
        <v>Rawan wael mohamed abd elhamid</v>
      </c>
      <c r="B122" s="1" t="str">
        <f ca="1">IFERROR(__xludf.DUMMYFUNCTION("""COMPUTED_VALUE"""),"rm3323649@gmail.com")</f>
        <v>rm3323649@gmail.com</v>
      </c>
      <c r="C122" s="1">
        <f ca="1">IFERROR(__xludf.DUMMYFUNCTION("""COMPUTED_VALUE"""),201557383115)</f>
        <v>201557383115</v>
      </c>
      <c r="D122" s="1" t="str">
        <f ca="1">IFERROR(__xludf.DUMMYFUNCTION("""COMPUTED_VALUE"""),"توريل الجديدة شارع الامام محمد عبده ")</f>
        <v xml:space="preserve">توريل الجديدة شارع الامام محمد عبده </v>
      </c>
      <c r="E122" s="12" t="str">
        <f ca="1">IFERROR(__xludf.DUMMYFUNCTION("""COMPUTED_VALUE"""),"https://www.facebook.com/mohamed.rehab.7777")</f>
        <v>https://www.facebook.com/mohamed.rehab.7777</v>
      </c>
      <c r="F122" s="1" t="str">
        <f ca="1">IFERROR(__xludf.DUMMYFUNCTION("""COMPUTED_VALUE"""),"rawan.wael")</f>
        <v>rawan.wael</v>
      </c>
      <c r="G122" s="1"/>
      <c r="H122" s="12" t="str">
        <f ca="1">IFERROR(__xludf.DUMMYFUNCTION("""COMPUTED_VALUE"""),"https://www.linkedin.com/in/rawan-wael-8a2234338?utm_source=share&amp;utm_campaign=share_via&amp;utm_content=profile&amp;utm_medium=android_app")</f>
        <v>https://www.linkedin.com/in/rawan-wael-8a2234338?utm_source=share&amp;utm_campaign=share_via&amp;utm_content=profile&amp;utm_medium=android_app</v>
      </c>
      <c r="I122" s="12" t="str">
        <f ca="1">IFERROR(__xludf.DUMMYFUNCTION("""COMPUTED_VALUE"""),"https://github.com/RawanWaell")</f>
        <v>https://github.com/RawanWaell</v>
      </c>
      <c r="J122" s="1"/>
      <c r="K122" s="1" t="str">
        <f ca="1">IFERROR(__xludf.DUMMYFUNCTION("""COMPUTED_VALUE"""),"Mansoura University")</f>
        <v>Mansoura University</v>
      </c>
      <c r="L122" s="1"/>
      <c r="M122" s="1" t="str">
        <f ca="1">IFERROR(__xludf.DUMMYFUNCTION("""COMPUTED_VALUE"""),"Faculty of Computer &amp; Information Science")</f>
        <v>Faculty of Computer &amp; Information Science</v>
      </c>
      <c r="N122" s="1"/>
      <c r="O122" s="1" t="str">
        <f ca="1">IFERROR(__xludf.DUMMYFUNCTION("""COMPUTED_VALUE"""),"3rd Year")</f>
        <v>3rd Year</v>
      </c>
      <c r="R122" s="1" t="s">
        <v>6</v>
      </c>
      <c r="S122" s="1" t="s">
        <v>170</v>
      </c>
    </row>
    <row r="123" spans="1:19">
      <c r="A123" s="1" t="str">
        <f ca="1">IFERROR(__xludf.DUMMYFUNCTION("""COMPUTED_VALUE"""),"منه الله أيمن ابراهيم البدوي")</f>
        <v>منه الله أيمن ابراهيم البدوي</v>
      </c>
      <c r="B123" s="1" t="str">
        <f ca="1">IFERROR(__xludf.DUMMYFUNCTION("""COMPUTED_VALUE"""),"mennaayman124158@gmail.com")</f>
        <v>mennaayman124158@gmail.com</v>
      </c>
      <c r="C123" s="1">
        <f ca="1">IFERROR(__xludf.DUMMYFUNCTION("""COMPUTED_VALUE"""),201021578717)</f>
        <v>201021578717</v>
      </c>
      <c r="D123" s="1" t="str">
        <f ca="1">IFERROR(__xludf.DUMMYFUNCTION("""COMPUTED_VALUE"""),"بلقاس")</f>
        <v>بلقاس</v>
      </c>
      <c r="E123" s="12" t="str">
        <f ca="1">IFERROR(__xludf.DUMMYFUNCTION("""COMPUTED_VALUE"""),"https://www.facebook.com/profile.php?id=61563413667227&amp;mibextid=ZbWKwL")</f>
        <v>https://www.facebook.com/profile.php?id=61563413667227&amp;mibextid=ZbWKwL</v>
      </c>
      <c r="F123" s="1" t="str">
        <f ca="1">IFERROR(__xludf.DUMMYFUNCTION("""COMPUTED_VALUE"""),"mennaayman0553")</f>
        <v>mennaayman0553</v>
      </c>
      <c r="G123" s="1"/>
      <c r="H123" s="1"/>
      <c r="I123" s="1"/>
      <c r="J123" s="1"/>
      <c r="K123" s="1" t="str">
        <f ca="1">IFERROR(__xludf.DUMMYFUNCTION("""COMPUTED_VALUE"""),"Mansoura University")</f>
        <v>Mansoura University</v>
      </c>
      <c r="L123" s="1"/>
      <c r="M123" s="1" t="str">
        <f ca="1">IFERROR(__xludf.DUMMYFUNCTION("""COMPUTED_VALUE"""),"Faculty of Computer &amp; Information Science")</f>
        <v>Faculty of Computer &amp; Information Science</v>
      </c>
      <c r="N123" s="1"/>
      <c r="O123" s="1" t="str">
        <f ca="1">IFERROR(__xludf.DUMMYFUNCTION("""COMPUTED_VALUE"""),"1st Year")</f>
        <v>1st Year</v>
      </c>
      <c r="R123" s="1" t="s">
        <v>272</v>
      </c>
      <c r="S123" s="1" t="s">
        <v>176</v>
      </c>
    </row>
    <row r="124" spans="1:19">
      <c r="A124" s="1" t="str">
        <f ca="1">IFERROR(__xludf.DUMMYFUNCTION("""COMPUTED_VALUE"""),"Habiba Tarek Hamouda ")</f>
        <v xml:space="preserve">Habiba Tarek Hamouda </v>
      </c>
      <c r="B124" s="1" t="str">
        <f ca="1">IFERROR(__xludf.DUMMYFUNCTION("""COMPUTED_VALUE"""),"dochabibatarek@gmail.com")</f>
        <v>dochabibatarek@gmail.com</v>
      </c>
      <c r="C124" s="1">
        <f ca="1">IFERROR(__xludf.DUMMYFUNCTION("""COMPUTED_VALUE"""),201096179172)</f>
        <v>201096179172</v>
      </c>
      <c r="D124" s="1" t="str">
        <f ca="1">IFERROR(__xludf.DUMMYFUNCTION("""COMPUTED_VALUE"""),"El Mahalla Elkobra")</f>
        <v>El Mahalla Elkobra</v>
      </c>
      <c r="E124" s="12" t="str">
        <f ca="1">IFERROR(__xludf.DUMMYFUNCTION("""COMPUTED_VALUE"""),"https://www.facebook.com/share/19can6oCtz/")</f>
        <v>https://www.facebook.com/share/19can6oCtz/</v>
      </c>
      <c r="F124" s="1" t="str">
        <f ca="1">IFERROR(__xludf.DUMMYFUNCTION("""COMPUTED_VALUE"""),"habibatarek0805")</f>
        <v>habibatarek0805</v>
      </c>
      <c r="G124" s="12" t="str">
        <f ca="1">IFERROR(__xludf.DUMMYFUNCTION("""COMPUTED_VALUE"""),"https://x.com/HabibaT60497446?t=5pV__LxA1bI2MrElRB_7ZA&amp;s=09")</f>
        <v>https://x.com/HabibaT60497446?t=5pV__LxA1bI2MrElRB_7ZA&amp;s=09</v>
      </c>
      <c r="H124" s="12" t="str">
        <f ca="1">IFERROR(__xludf.DUMMYFUNCTION("""COMPUTED_VALUE"""),"https://www.linkedin.com/in/habiba-tarek-a54a16329?utm_source=share&amp;utm_campaign=share_via&amp;utm_content=profile&amp;utm_medium=android_app")</f>
        <v>https://www.linkedin.com/in/habiba-tarek-a54a16329?utm_source=share&amp;utm_campaign=share_via&amp;utm_content=profile&amp;utm_medium=android_app</v>
      </c>
      <c r="I124" s="1"/>
      <c r="J124" s="12" t="str">
        <f ca="1">IFERROR(__xludf.DUMMYFUNCTION("""COMPUTED_VALUE"""),"https://www.behance.net/habibatarek40")</f>
        <v>https://www.behance.net/habibatarek40</v>
      </c>
      <c r="K124" s="1" t="str">
        <f ca="1">IFERROR(__xludf.DUMMYFUNCTION("""COMPUTED_VALUE"""),"Mansoura University")</f>
        <v>Mansoura University</v>
      </c>
      <c r="L124" s="1"/>
      <c r="M124" s="1" t="str">
        <f ca="1">IFERROR(__xludf.DUMMYFUNCTION("""COMPUTED_VALUE"""),"Faculty of Computer &amp; Information Science")</f>
        <v>Faculty of Computer &amp; Information Science</v>
      </c>
      <c r="N124" s="1"/>
      <c r="O124" s="1" t="str">
        <f ca="1">IFERROR(__xludf.DUMMYFUNCTION("""COMPUTED_VALUE"""),"1st Year")</f>
        <v>1st Year</v>
      </c>
      <c r="R124" s="1" t="s">
        <v>273</v>
      </c>
      <c r="S124" s="1" t="s">
        <v>176</v>
      </c>
    </row>
    <row r="125" spans="1:19">
      <c r="A125" s="1" t="str">
        <f ca="1">IFERROR(__xludf.DUMMYFUNCTION("""COMPUTED_VALUE"""),"Menna Maged Nabil")</f>
        <v>Menna Maged Nabil</v>
      </c>
      <c r="B125" s="1" t="str">
        <f ca="1">IFERROR(__xludf.DUMMYFUNCTION("""COMPUTED_VALUE"""),"magedmenna864@gmail.com")</f>
        <v>magedmenna864@gmail.com</v>
      </c>
      <c r="C125" s="1">
        <f ca="1">IFERROR(__xludf.DUMMYFUNCTION("""COMPUTED_VALUE"""),201096078429)</f>
        <v>201096078429</v>
      </c>
      <c r="D125" s="1" t="str">
        <f ca="1">IFERROR(__xludf.DUMMYFUNCTION("""COMPUTED_VALUE"""),"Mansoura")</f>
        <v>Mansoura</v>
      </c>
      <c r="E125" s="12" t="str">
        <f ca="1">IFERROR(__xludf.DUMMYFUNCTION("""COMPUTED_VALUE"""),"https://www.facebook.com/profile.php?id=100009623321304&amp;mibextid=LQQJ4d")</f>
        <v>https://www.facebook.com/profile.php?id=100009623321304&amp;mibextid=LQQJ4d</v>
      </c>
      <c r="F125" s="12" t="str">
        <f ca="1">IFERROR(__xludf.DUMMYFUNCTION("""COMPUTED_VALUE"""),"https://discord.gg/Ks4Duf4s")</f>
        <v>https://discord.gg/Ks4Duf4s</v>
      </c>
      <c r="G125" s="12" t="str">
        <f ca="1">IFERROR(__xludf.DUMMYFUNCTION("""COMPUTED_VALUE"""),"https://x.com/mennamaged2389?s=11")</f>
        <v>https://x.com/mennamaged2389?s=11</v>
      </c>
      <c r="H125" s="12" t="str">
        <f ca="1">IFERROR(__xludf.DUMMYFUNCTION("""COMPUTED_VALUE"""),"https://www.linkedin.com/in/menna-maged-280b00337?utm_source=share&amp;utm_campaign=share_via&amp;utm_content=profile&amp;utm_medium=ios_app")</f>
        <v>https://www.linkedin.com/in/menna-maged-280b00337?utm_source=share&amp;utm_campaign=share_via&amp;utm_content=profile&amp;utm_medium=ios_app</v>
      </c>
      <c r="I125" s="12" t="str">
        <f ca="1">IFERROR(__xludf.DUMMYFUNCTION("""COMPUTED_VALUE"""),"https://github.com/MennaMag")</f>
        <v>https://github.com/MennaMag</v>
      </c>
      <c r="J125" s="12" t="str">
        <f ca="1">IFERROR(__xludf.DUMMYFUNCTION("""COMPUTED_VALUE"""),"https://bunch.party/pRLSNFQewQRNJXM89")</f>
        <v>https://bunch.party/pRLSNFQewQRNJXM89</v>
      </c>
      <c r="K125" s="1" t="str">
        <f ca="1">IFERROR(__xludf.DUMMYFUNCTION("""COMPUTED_VALUE"""),"Mansoura University")</f>
        <v>Mansoura University</v>
      </c>
      <c r="L125" s="1"/>
      <c r="M125" s="1" t="str">
        <f ca="1">IFERROR(__xludf.DUMMYFUNCTION("""COMPUTED_VALUE"""),"Faculty of Computer &amp; Information Science")</f>
        <v>Faculty of Computer &amp; Information Science</v>
      </c>
      <c r="N125" s="1"/>
      <c r="O125" s="1" t="str">
        <f ca="1">IFERROR(__xludf.DUMMYFUNCTION("""COMPUTED_VALUE"""),"2nd Year")</f>
        <v>2nd Year</v>
      </c>
      <c r="R125" s="1" t="s">
        <v>274</v>
      </c>
      <c r="S125" s="1" t="s">
        <v>173</v>
      </c>
    </row>
    <row r="126" spans="1:19">
      <c r="A126" s="1" t="str">
        <f ca="1">IFERROR(__xludf.DUMMYFUNCTION("""COMPUTED_VALUE"""),"منه الله شريف عبد العظيم ")</f>
        <v xml:space="preserve">منه الله شريف عبد العظيم </v>
      </c>
      <c r="B126" s="1" t="str">
        <f ca="1">IFERROR(__xludf.DUMMYFUNCTION("""COMPUTED_VALUE"""),"mennasheref1234@gmail.com")</f>
        <v>mennasheref1234@gmail.com</v>
      </c>
      <c r="C126" s="1">
        <f ca="1">IFERROR(__xludf.DUMMYFUNCTION("""COMPUTED_VALUE"""),201069896589)</f>
        <v>201069896589</v>
      </c>
      <c r="D126" s="1" t="str">
        <f ca="1">IFERROR(__xludf.DUMMYFUNCTION("""COMPUTED_VALUE"""),"Mansora ")</f>
        <v xml:space="preserve">Mansora </v>
      </c>
      <c r="E126" s="12" t="str">
        <f ca="1">IFERROR(__xludf.DUMMYFUNCTION("""COMPUTED_VALUE"""),"https://www.facebook.com/profile.php?id=100078637792247&amp;mibextid=LQQJ4d")</f>
        <v>https://www.facebook.com/profile.php?id=100078637792247&amp;mibextid=LQQJ4d</v>
      </c>
      <c r="F126" s="12" t="str">
        <f ca="1">IFERROR(__xludf.DUMMYFUNCTION("""COMPUTED_VALUE"""),"https://discord.gg/afEVnFsF")</f>
        <v>https://discord.gg/afEVnFsF</v>
      </c>
      <c r="G126" s="12" t="str">
        <f ca="1">IFERROR(__xludf.DUMMYFUNCTION("""COMPUTED_VALUE"""),"https://x.com/shrief_mena?s=21")</f>
        <v>https://x.com/shrief_mena?s=21</v>
      </c>
      <c r="H126" s="12" t="str">
        <f ca="1">IFERROR(__xludf.DUMMYFUNCTION("""COMPUTED_VALUE"""),"https://www.linkedin.com/in/mena-sheref-40aa142b6?utm_source=share&amp;utm_campaign=share_via&amp;utm_content=profile&amp;utm_medium=ios_app")</f>
        <v>https://www.linkedin.com/in/mena-sheref-40aa142b6?utm_source=share&amp;utm_campaign=share_via&amp;utm_content=profile&amp;utm_medium=ios_app</v>
      </c>
      <c r="I126" s="12" t="str">
        <f ca="1">IFERROR(__xludf.DUMMYFUNCTION("""COMPUTED_VALUE"""),"https://github.com/mennasheref571/Menna-Sheref.git")</f>
        <v>https://github.com/mennasheref571/Menna-Sheref.git</v>
      </c>
      <c r="J126" s="12" t="str">
        <f ca="1">IFERROR(__xludf.DUMMYFUNCTION("""COMPUTED_VALUE"""),"https://bunch.party/SEcXKqwwW9x9nJBh6")</f>
        <v>https://bunch.party/SEcXKqwwW9x9nJBh6</v>
      </c>
      <c r="K126" s="1" t="str">
        <f ca="1">IFERROR(__xludf.DUMMYFUNCTION("""COMPUTED_VALUE"""),"Mansoura University")</f>
        <v>Mansoura University</v>
      </c>
      <c r="L126" s="1"/>
      <c r="M126" s="1" t="str">
        <f ca="1">IFERROR(__xludf.DUMMYFUNCTION("""COMPUTED_VALUE"""),"Faculty of Computer &amp; Information Science")</f>
        <v>Faculty of Computer &amp; Information Science</v>
      </c>
      <c r="N126" s="1"/>
      <c r="O126" s="1" t="str">
        <f ca="1">IFERROR(__xludf.DUMMYFUNCTION("""COMPUTED_VALUE"""),"2nd Year")</f>
        <v>2nd Year</v>
      </c>
      <c r="R126" s="1" t="s">
        <v>275</v>
      </c>
      <c r="S126" s="1" t="s">
        <v>173</v>
      </c>
    </row>
    <row r="127" spans="1:19">
      <c r="A127" s="1" t="str">
        <f ca="1">IFERROR(__xludf.DUMMYFUNCTION("""COMPUTED_VALUE"""),"Mohamed mamdouh mohamed elmasry")</f>
        <v>Mohamed mamdouh mohamed elmasry</v>
      </c>
      <c r="B127" s="1" t="str">
        <f ca="1">IFERROR(__xludf.DUMMYFUNCTION("""COMPUTED_VALUE"""),"mahmed99988mmm@gmail.com")</f>
        <v>mahmed99988mmm@gmail.com</v>
      </c>
      <c r="C127" s="1">
        <f ca="1">IFERROR(__xludf.DUMMYFUNCTION("""COMPUTED_VALUE"""),201210458030)</f>
        <v>201210458030</v>
      </c>
      <c r="D127" s="1" t="str">
        <f ca="1">IFERROR(__xludf.DUMMYFUNCTION("""COMPUTED_VALUE"""),"الغربيه_المحله")</f>
        <v>الغربيه_المحله</v>
      </c>
      <c r="E127" s="12" t="str">
        <f ca="1">IFERROR(__xludf.DUMMYFUNCTION("""COMPUTED_VALUE"""),"https://www.facebook.com/profile.php?id=100046090037039&amp;mibextid=ZbWKwL")</f>
        <v>https://www.facebook.com/profile.php?id=100046090037039&amp;mibextid=ZbWKwL</v>
      </c>
      <c r="F127" s="1" t="str">
        <f ca="1">IFERROR(__xludf.DUMMYFUNCTION("""COMPUTED_VALUE"""),"mohamedmamdouh0337")</f>
        <v>mohamedmamdouh0337</v>
      </c>
      <c r="G127" s="12" t="str">
        <f ca="1">IFERROR(__xludf.DUMMYFUNCTION("""COMPUTED_VALUE"""),"https://x.com/mohamed68405277?t=PvzF8dNmcuZqcEIu9qUgJg&amp;s=09")</f>
        <v>https://x.com/mohamed68405277?t=PvzF8dNmcuZqcEIu9qUgJg&amp;s=09</v>
      </c>
      <c r="H127" s="1"/>
      <c r="I127" s="1"/>
      <c r="J127" s="1"/>
      <c r="K127" s="1" t="str">
        <f ca="1">IFERROR(__xludf.DUMMYFUNCTION("""COMPUTED_VALUE"""),"Tanta University")</f>
        <v>Tanta University</v>
      </c>
      <c r="L127" s="1"/>
      <c r="M127" s="1" t="str">
        <f ca="1">IFERROR(__xludf.DUMMYFUNCTION("""COMPUTED_VALUE"""),"Faculty of Computer &amp; Information Science")</f>
        <v>Faculty of Computer &amp; Information Science</v>
      </c>
      <c r="N127" s="1"/>
      <c r="O127" s="1" t="str">
        <f ca="1">IFERROR(__xludf.DUMMYFUNCTION("""COMPUTED_VALUE"""),"2nd Year")</f>
        <v>2nd Year</v>
      </c>
      <c r="R127" s="1" t="s">
        <v>276</v>
      </c>
      <c r="S127" s="1" t="s">
        <v>173</v>
      </c>
    </row>
    <row r="128" spans="1:19">
      <c r="A128" s="1" t="str">
        <f ca="1">IFERROR(__xludf.DUMMYFUNCTION("""COMPUTED_VALUE"""),"Rahma Salah Elnabarawy")</f>
        <v>Rahma Salah Elnabarawy</v>
      </c>
      <c r="B128" s="1" t="str">
        <f ca="1">IFERROR(__xludf.DUMMYFUNCTION("""COMPUTED_VALUE"""),"rahmaelnabarawy2@gmail.com")</f>
        <v>rahmaelnabarawy2@gmail.com</v>
      </c>
      <c r="C128" s="1">
        <f ca="1">IFERROR(__xludf.DUMMYFUNCTION("""COMPUTED_VALUE"""),201118073472)</f>
        <v>201118073472</v>
      </c>
      <c r="D128" s="1" t="str">
        <f ca="1">IFERROR(__xludf.DUMMYFUNCTION("""COMPUTED_VALUE"""),"Elmahala Elkubra")</f>
        <v>Elmahala Elkubra</v>
      </c>
      <c r="E128" s="12" t="str">
        <f ca="1">IFERROR(__xludf.DUMMYFUNCTION("""COMPUTED_VALUE"""),"https://www.facebook.com/rahma.alnabarawy")</f>
        <v>https://www.facebook.com/rahma.alnabarawy</v>
      </c>
      <c r="F128" s="1" t="str">
        <f ca="1">IFERROR(__xludf.DUMMYFUNCTION("""COMPUTED_VALUE"""),"rahma0632")</f>
        <v>rahma0632</v>
      </c>
      <c r="G128" s="1"/>
      <c r="H128" s="12" t="str">
        <f ca="1">IFERROR(__xludf.DUMMYFUNCTION("""COMPUTED_VALUE"""),"https://www.linkedin.com/in/rahma-elnabarawy-787638304/")</f>
        <v>https://www.linkedin.com/in/rahma-elnabarawy-787638304/</v>
      </c>
      <c r="I128" s="1"/>
      <c r="J128" s="1"/>
      <c r="K128" s="1" t="str">
        <f ca="1">IFERROR(__xludf.DUMMYFUNCTION("""COMPUTED_VALUE"""),"Mansoura University")</f>
        <v>Mansoura University</v>
      </c>
      <c r="L128" s="1"/>
      <c r="M128" s="1" t="str">
        <f ca="1">IFERROR(__xludf.DUMMYFUNCTION("""COMPUTED_VALUE"""),"Faculty of Engineering")</f>
        <v>Faculty of Engineering</v>
      </c>
      <c r="N128" s="1"/>
      <c r="O128" s="1" t="str">
        <f ca="1">IFERROR(__xludf.DUMMYFUNCTION("""COMPUTED_VALUE"""),"2nd Year")</f>
        <v>2nd Year</v>
      </c>
      <c r="R128" s="1" t="s">
        <v>277</v>
      </c>
      <c r="S128" s="1" t="s">
        <v>173</v>
      </c>
    </row>
    <row r="129" spans="1:19">
      <c r="A129" s="1" t="str">
        <f ca="1">IFERROR(__xludf.DUMMYFUNCTION("""COMPUTED_VALUE"""),"ola Mohamed Othman")</f>
        <v>ola Mohamed Othman</v>
      </c>
      <c r="B129" s="1" t="str">
        <f ca="1">IFERROR(__xludf.DUMMYFUNCTION("""COMPUTED_VALUE"""),"olam81733@gmail.com")</f>
        <v>olam81733@gmail.com</v>
      </c>
      <c r="C129" s="1">
        <f ca="1">IFERROR(__xludf.DUMMYFUNCTION("""COMPUTED_VALUE"""),201098696370)</f>
        <v>201098696370</v>
      </c>
      <c r="D129" s="1" t="str">
        <f ca="1">IFERROR(__xludf.DUMMYFUNCTION("""COMPUTED_VALUE"""),"mansour")</f>
        <v>mansour</v>
      </c>
      <c r="E129" s="12" t="str">
        <f ca="1">IFERROR(__xludf.DUMMYFUNCTION("""COMPUTED_VALUE"""),"https://www.facebook.com/profile.php?id=100052327116987")</f>
        <v>https://www.facebook.com/profile.php?id=100052327116987</v>
      </c>
      <c r="F129" s="1" t="str">
        <f ca="1">IFERROR(__xludf.DUMMYFUNCTION("""COMPUTED_VALUE"""),"not found")</f>
        <v>not found</v>
      </c>
      <c r="G129" s="1"/>
      <c r="H129" s="12" t="str">
        <f ca="1">IFERROR(__xludf.DUMMYFUNCTION("""COMPUTED_VALUE"""),"https://www.linkedin.com/in/ola-mohamed-666968293")</f>
        <v>https://www.linkedin.com/in/ola-mohamed-666968293</v>
      </c>
      <c r="I129" s="1"/>
      <c r="J129" s="1"/>
      <c r="K129" s="1" t="str">
        <f ca="1">IFERROR(__xludf.DUMMYFUNCTION("""COMPUTED_VALUE"""),"Mansoura University")</f>
        <v>Mansoura University</v>
      </c>
      <c r="L129" s="1"/>
      <c r="M129" s="1" t="str">
        <f ca="1">IFERROR(__xludf.DUMMYFUNCTION("""COMPUTED_VALUE"""),"Faculty of Computer &amp; Information Science")</f>
        <v>Faculty of Computer &amp; Information Science</v>
      </c>
      <c r="N129" s="1"/>
      <c r="O129" s="1" t="str">
        <f ca="1">IFERROR(__xludf.DUMMYFUNCTION("""COMPUTED_VALUE"""),"3rd Year")</f>
        <v>3rd Year</v>
      </c>
      <c r="R129" s="1" t="s">
        <v>278</v>
      </c>
      <c r="S129" s="1" t="s">
        <v>170</v>
      </c>
    </row>
    <row r="130" spans="1:19">
      <c r="A130" s="1" t="str">
        <f ca="1">IFERROR(__xludf.DUMMYFUNCTION("""COMPUTED_VALUE"""),"hassan lbrahim Ali badran")</f>
        <v>hassan lbrahim Ali badran</v>
      </c>
      <c r="B130" s="1" t="str">
        <f ca="1">IFERROR(__xludf.DUMMYFUNCTION("""COMPUTED_VALUE"""),"hb862924@gmail.com")</f>
        <v>hb862924@gmail.com</v>
      </c>
      <c r="C130" s="1">
        <f ca="1">IFERROR(__xludf.DUMMYFUNCTION("""COMPUTED_VALUE"""),201144952087)</f>
        <v>201144952087</v>
      </c>
      <c r="D130" s="1" t="str">
        <f ca="1">IFERROR(__xludf.DUMMYFUNCTION("""COMPUTED_VALUE"""),"Mansoura")</f>
        <v>Mansoura</v>
      </c>
      <c r="E130" s="12" t="str">
        <f ca="1">IFERROR(__xludf.DUMMYFUNCTION("""COMPUTED_VALUE"""),"https://web.facebook.com/profile.php?id=100086733346796")</f>
        <v>https://web.facebook.com/profile.php?id=100086733346796</v>
      </c>
      <c r="F130" s="1" t="str">
        <f ca="1">IFERROR(__xludf.DUMMYFUNCTION("""COMPUTED_VALUE"""),"hassan_88389")</f>
        <v>hassan_88389</v>
      </c>
      <c r="G130" s="1"/>
      <c r="H130" s="12" t="str">
        <f ca="1">IFERROR(__xludf.DUMMYFUNCTION("""COMPUTED_VALUE"""),"https://www.linkedin.com/in/hassan-ebrahim-1b3a09264?utm_source=share&amp;utm_campaign=share_via&amp;utm_content=profile&amp;utm_medium=android_app")</f>
        <v>https://www.linkedin.com/in/hassan-ebrahim-1b3a09264?utm_source=share&amp;utm_campaign=share_via&amp;utm_content=profile&amp;utm_medium=android_app</v>
      </c>
      <c r="I130" s="12" t="str">
        <f ca="1">IFERROR(__xludf.DUMMYFUNCTION("""COMPUTED_VALUE"""),"https://github.com/Hassanlbrhim")</f>
        <v>https://github.com/Hassanlbrhim</v>
      </c>
      <c r="J130" s="12" t="str">
        <f ca="1">IFERROR(__xludf.DUMMYFUNCTION("""COMPUTED_VALUE"""),"https://www.behance.net/hassanbadran1")</f>
        <v>https://www.behance.net/hassanbadran1</v>
      </c>
      <c r="K130" s="1" t="str">
        <f ca="1">IFERROR(__xludf.DUMMYFUNCTION("""COMPUTED_VALUE"""),"Mansoura University")</f>
        <v>Mansoura University</v>
      </c>
      <c r="L130" s="1"/>
      <c r="M130" s="1" t="str">
        <f ca="1">IFERROR(__xludf.DUMMYFUNCTION("""COMPUTED_VALUE"""),"Faculty of Computer &amp; Information Science")</f>
        <v>Faculty of Computer &amp; Information Science</v>
      </c>
      <c r="N130" s="1"/>
      <c r="O130" s="1" t="str">
        <f ca="1">IFERROR(__xludf.DUMMYFUNCTION("""COMPUTED_VALUE"""),"3rd Year")</f>
        <v>3rd Year</v>
      </c>
      <c r="R130" s="1" t="s">
        <v>279</v>
      </c>
      <c r="S130" s="1" t="s">
        <v>170</v>
      </c>
    </row>
    <row r="131" spans="1:19">
      <c r="A131" s="1" t="str">
        <f ca="1">IFERROR(__xludf.DUMMYFUNCTION("""COMPUTED_VALUE"""),"منار عبدالهادي محمد ")</f>
        <v xml:space="preserve">منار عبدالهادي محمد </v>
      </c>
      <c r="B131" s="1" t="str">
        <f ca="1">IFERROR(__xludf.DUMMYFUNCTION("""COMPUTED_VALUE"""),"manarabdelhadi08@gmail.com")</f>
        <v>manarabdelhadi08@gmail.com</v>
      </c>
      <c r="C131" s="1">
        <f ca="1">IFERROR(__xludf.DUMMYFUNCTION("""COMPUTED_VALUE"""),201000847645)</f>
        <v>201000847645</v>
      </c>
      <c r="D131" s="1" t="str">
        <f ca="1">IFERROR(__xludf.DUMMYFUNCTION("""COMPUTED_VALUE"""),"طلخا ")</f>
        <v xml:space="preserve">طلخا </v>
      </c>
      <c r="E131" s="12" t="str">
        <f ca="1">IFERROR(__xludf.DUMMYFUNCTION("""COMPUTED_VALUE"""),"https://www.facebook.com/profile.php?id=61555144246324&amp;mibextid=ZbWKwL")</f>
        <v>https://www.facebook.com/profile.php?id=61555144246324&amp;mibextid=ZbWKwL</v>
      </c>
      <c r="F131" s="1" t="str">
        <f ca="1">IFERROR(__xludf.DUMMYFUNCTION("""COMPUTED_VALUE"""),"لا اعلم ما هذا ")</f>
        <v xml:space="preserve">لا اعلم ما هذا </v>
      </c>
      <c r="G131" s="1"/>
      <c r="H131" s="12" t="str">
        <f ca="1">IFERROR(__xludf.DUMMYFUNCTION("""COMPUTED_VALUE"""),"https://www.facebook.com/profile.php?id=61555144246324&amp;mibextid=ZbWKwL")</f>
        <v>https://www.facebook.com/profile.php?id=61555144246324&amp;mibextid=ZbWKwL</v>
      </c>
      <c r="I131" s="12" t="str">
        <f ca="1">IFERROR(__xludf.DUMMYFUNCTION("""COMPUTED_VALUE"""),"https://www.facebook.com/profile.php?id=61555144246324&amp;mibextid=ZbWKwL")</f>
        <v>https://www.facebook.com/profile.php?id=61555144246324&amp;mibextid=ZbWKwL</v>
      </c>
      <c r="J131" s="12" t="str">
        <f ca="1">IFERROR(__xludf.DUMMYFUNCTION("""COMPUTED_VALUE"""),"https://www.facebook.com/profile.php?id=61555144246324&amp;mibextid=ZbWKwL")</f>
        <v>https://www.facebook.com/profile.php?id=61555144246324&amp;mibextid=ZbWKwL</v>
      </c>
      <c r="K131" s="1" t="str">
        <f ca="1">IFERROR(__xludf.DUMMYFUNCTION("""COMPUTED_VALUE"""),"Mansoura University")</f>
        <v>Mansoura University</v>
      </c>
      <c r="L131" s="1"/>
      <c r="M131" s="1" t="str">
        <f ca="1">IFERROR(__xludf.DUMMYFUNCTION("""COMPUTED_VALUE"""),"Faculty of Computer &amp; Information Science")</f>
        <v>Faculty of Computer &amp; Information Science</v>
      </c>
      <c r="N131" s="1"/>
      <c r="O131" s="1" t="str">
        <f ca="1">IFERROR(__xludf.DUMMYFUNCTION("""COMPUTED_VALUE"""),"1st Year")</f>
        <v>1st Year</v>
      </c>
      <c r="R131" s="1" t="s">
        <v>280</v>
      </c>
      <c r="S131" s="1" t="s">
        <v>176</v>
      </c>
    </row>
    <row r="132" spans="1:19">
      <c r="A132" s="1" t="str">
        <f ca="1">IFERROR(__xludf.DUMMYFUNCTION("""COMPUTED_VALUE"""),"Razan Mohammed Hasan ")</f>
        <v xml:space="preserve">Razan Mohammed Hasan </v>
      </c>
      <c r="B132" s="1" t="str">
        <f ca="1">IFERROR(__xludf.DUMMYFUNCTION("""COMPUTED_VALUE"""),"www.rozamohamed@gmail.com")</f>
        <v>www.rozamohamed@gmail.com</v>
      </c>
      <c r="C132" s="1">
        <f ca="1">IFERROR(__xludf.DUMMYFUNCTION("""COMPUTED_VALUE"""),201225509872)</f>
        <v>201225509872</v>
      </c>
      <c r="D132" s="1" t="str">
        <f ca="1">IFERROR(__xludf.DUMMYFUNCTION("""COMPUTED_VALUE"""),"Mansoura المدينه الجامعيه ")</f>
        <v xml:space="preserve">Mansoura المدينه الجامعيه </v>
      </c>
      <c r="E132" s="12" t="str">
        <f ca="1">IFERROR(__xludf.DUMMYFUNCTION("""COMPUTED_VALUE"""),"https://www.facebook.com/profile.php?id=61551377777169")</f>
        <v>https://www.facebook.com/profile.php?id=61551377777169</v>
      </c>
      <c r="F132" s="1" t="str">
        <f ca="1">IFERROR(__xludf.DUMMYFUNCTION("""COMPUTED_VALUE"""),"1286085891562934272")</f>
        <v>1286085891562934272</v>
      </c>
      <c r="G132" s="1"/>
      <c r="H132" s="1"/>
      <c r="I132" s="1"/>
      <c r="J132" s="1"/>
      <c r="K132" s="1" t="str">
        <f ca="1">IFERROR(__xludf.DUMMYFUNCTION("""COMPUTED_VALUE"""),"Mansoura University")</f>
        <v>Mansoura University</v>
      </c>
      <c r="L132" s="1"/>
      <c r="M132" s="1" t="str">
        <f ca="1">IFERROR(__xludf.DUMMYFUNCTION("""COMPUTED_VALUE"""),"Faculty of Computer &amp; Information Science")</f>
        <v>Faculty of Computer &amp; Information Science</v>
      </c>
      <c r="N132" s="1"/>
      <c r="O132" s="1" t="str">
        <f ca="1">IFERROR(__xludf.DUMMYFUNCTION("""COMPUTED_VALUE"""),"2nd Year")</f>
        <v>2nd Year</v>
      </c>
      <c r="R132" s="1" t="s">
        <v>281</v>
      </c>
      <c r="S132" s="1" t="s">
        <v>173</v>
      </c>
    </row>
    <row r="133" spans="1:19">
      <c r="A133" s="1" t="str">
        <f ca="1">IFERROR(__xludf.DUMMYFUNCTION("""COMPUTED_VALUE"""),"Yousef Mohamed Elbasiouny")</f>
        <v>Yousef Mohamed Elbasiouny</v>
      </c>
      <c r="B133" s="1" t="str">
        <f ca="1">IFERROR(__xludf.DUMMYFUNCTION("""COMPUTED_VALUE"""),"youssefmohamedelbasouny@gmail.com")</f>
        <v>youssefmohamedelbasouny@gmail.com</v>
      </c>
      <c r="C133" s="1">
        <f ca="1">IFERROR(__xludf.DUMMYFUNCTION("""COMPUTED_VALUE"""),201099851077)</f>
        <v>201099851077</v>
      </c>
      <c r="D133" s="1" t="str">
        <f ca="1">IFERROR(__xludf.DUMMYFUNCTION("""COMPUTED_VALUE"""),"سمنود")</f>
        <v>سمنود</v>
      </c>
      <c r="E133" s="12" t="str">
        <f ca="1">IFERROR(__xludf.DUMMYFUNCTION("""COMPUTED_VALUE"""),"https://www.facebook.com/profile.php?id=100077591564945&amp;sk=about")</f>
        <v>https://www.facebook.com/profile.php?id=100077591564945&amp;sk=about</v>
      </c>
      <c r="F133" s="1" t="str">
        <f ca="1">IFERROR(__xludf.DUMMYFUNCTION("""COMPUTED_VALUE"""),"nothing")</f>
        <v>nothing</v>
      </c>
      <c r="G133" s="12" t="str">
        <f ca="1">IFERROR(__xludf.DUMMYFUNCTION("""COMPUTED_VALUE"""),"https://x.com/YousefElbasouny")</f>
        <v>https://x.com/YousefElbasouny</v>
      </c>
      <c r="H133" s="12" t="str">
        <f ca="1">IFERROR(__xludf.DUMMYFUNCTION("""COMPUTED_VALUE"""),"https://www.linkedin.com/in/yousef-el-basuony-618423242?utm_source=share&amp;utm_campaign=share_via&amp;utm_content=profile&amp;utm_medium=android_app")</f>
        <v>https://www.linkedin.com/in/yousef-el-basuony-618423242?utm_source=share&amp;utm_campaign=share_via&amp;utm_content=profile&amp;utm_medium=android_app</v>
      </c>
      <c r="I133" s="12" t="str">
        <f ca="1">IFERROR(__xludf.DUMMYFUNCTION("""COMPUTED_VALUE"""),"https://github.com/youssef800900")</f>
        <v>https://github.com/youssef800900</v>
      </c>
      <c r="J133" s="12" t="str">
        <f ca="1">IFERROR(__xludf.DUMMYFUNCTION("""COMPUTED_VALUE"""),"https://www.behance.net/youssefel-baso")</f>
        <v>https://www.behance.net/youssefel-baso</v>
      </c>
      <c r="K133" s="1" t="str">
        <f ca="1">IFERROR(__xludf.DUMMYFUNCTION("""COMPUTED_VALUE"""),"MET")</f>
        <v>MET</v>
      </c>
      <c r="L133" s="1"/>
      <c r="M133" s="1" t="str">
        <f ca="1">IFERROR(__xludf.DUMMYFUNCTION("""COMPUTED_VALUE"""),"Faculty of Computer &amp; Information Science")</f>
        <v>Faculty of Computer &amp; Information Science</v>
      </c>
      <c r="N133" s="1"/>
      <c r="O133" s="1" t="str">
        <f ca="1">IFERROR(__xludf.DUMMYFUNCTION("""COMPUTED_VALUE"""),"1st Year")</f>
        <v>1st Year</v>
      </c>
      <c r="R133" s="1" t="s">
        <v>282</v>
      </c>
      <c r="S133" s="1" t="s">
        <v>176</v>
      </c>
    </row>
    <row r="134" spans="1:19">
      <c r="A134" s="1" t="str">
        <f ca="1">IFERROR(__xludf.DUMMYFUNCTION("""COMPUTED_VALUE"""),"Osama Anwar Hassan ")</f>
        <v xml:space="preserve">Osama Anwar Hassan </v>
      </c>
      <c r="B134" s="1" t="str">
        <f ca="1">IFERROR(__xludf.DUMMYFUNCTION("""COMPUTED_VALUE"""),"osamaanwar0009@gmail.com")</f>
        <v>osamaanwar0009@gmail.com</v>
      </c>
      <c r="C134" s="1">
        <f ca="1">IFERROR(__xludf.DUMMYFUNCTION("""COMPUTED_VALUE"""),201090342909)</f>
        <v>201090342909</v>
      </c>
      <c r="D134" s="1" t="str">
        <f ca="1">IFERROR(__xludf.DUMMYFUNCTION("""COMPUTED_VALUE"""),"Mit salsil")</f>
        <v>Mit salsil</v>
      </c>
      <c r="E134" s="12" t="str">
        <f ca="1">IFERROR(__xludf.DUMMYFUNCTION("""COMPUTED_VALUE"""),"https://www.facebook.com/osama.anwar.3701?mibextid=ZbWKwL")</f>
        <v>https://www.facebook.com/osama.anwar.3701?mibextid=ZbWKwL</v>
      </c>
      <c r="F134" s="1" t="str">
        <f ca="1">IFERROR(__xludf.DUMMYFUNCTION("""COMPUTED_VALUE"""),"Osama anwar")</f>
        <v>Osama anwar</v>
      </c>
      <c r="G134" s="1"/>
      <c r="H134" s="1"/>
      <c r="I134" s="1"/>
      <c r="J134" s="1"/>
      <c r="K134" s="1" t="str">
        <f ca="1">IFERROR(__xludf.DUMMYFUNCTION("""COMPUTED_VALUE"""),"Mansoura University")</f>
        <v>Mansoura University</v>
      </c>
      <c r="L134" s="1"/>
      <c r="M134" s="1" t="str">
        <f ca="1">IFERROR(__xludf.DUMMYFUNCTION("""COMPUTED_VALUE"""),"Faculty of Computer &amp; Information Science")</f>
        <v>Faculty of Computer &amp; Information Science</v>
      </c>
      <c r="N134" s="1"/>
      <c r="O134" s="1" t="str">
        <f ca="1">IFERROR(__xludf.DUMMYFUNCTION("""COMPUTED_VALUE"""),"2nd Year")</f>
        <v>2nd Year</v>
      </c>
      <c r="R134" s="1" t="s">
        <v>283</v>
      </c>
      <c r="S134" s="1" t="s">
        <v>173</v>
      </c>
    </row>
    <row r="135" spans="1:19">
      <c r="A135" s="1" t="str">
        <f ca="1">IFERROR(__xludf.DUMMYFUNCTION("""COMPUTED_VALUE"""),"mostafa mahmoud makram")</f>
        <v>mostafa mahmoud makram</v>
      </c>
      <c r="B135" s="1" t="str">
        <f ca="1">IFERROR(__xludf.DUMMYFUNCTION("""COMPUTED_VALUE"""),"mostafamakram72@gmail.com")</f>
        <v>mostafamakram72@gmail.com</v>
      </c>
      <c r="C135" s="1">
        <f ca="1">IFERROR(__xludf.DUMMYFUNCTION("""COMPUTED_VALUE"""),201223953691)</f>
        <v>201223953691</v>
      </c>
      <c r="D135" s="1" t="str">
        <f ca="1">IFERROR(__xludf.DUMMYFUNCTION("""COMPUTED_VALUE"""),"dakadous , Mit-Ghamr , Dakahlia")</f>
        <v>dakadous , Mit-Ghamr , Dakahlia</v>
      </c>
      <c r="E135" s="12" t="str">
        <f ca="1">IFERROR(__xludf.DUMMYFUNCTION("""COMPUTED_VALUE"""),"https://www.facebook.com/profile.php?id=100015314594323")</f>
        <v>https://www.facebook.com/profile.php?id=100015314594323</v>
      </c>
      <c r="F135" s="1" t="str">
        <f ca="1">IFERROR(__xludf.DUMMYFUNCTION("""COMPUTED_VALUE"""),"none")</f>
        <v>none</v>
      </c>
      <c r="G135" s="1"/>
      <c r="H135" s="12" t="str">
        <f ca="1">IFERROR(__xludf.DUMMYFUNCTION("""COMPUTED_VALUE"""),"www.linkedin.com/in/mostafa-makram-a3a710322")</f>
        <v>www.linkedin.com/in/mostafa-makram-a3a710322</v>
      </c>
      <c r="I135" s="1"/>
      <c r="J135" s="1"/>
      <c r="K135" s="1" t="str">
        <f ca="1">IFERROR(__xludf.DUMMYFUNCTION("""COMPUTED_VALUE"""),"Mansoura University")</f>
        <v>Mansoura University</v>
      </c>
      <c r="L135" s="1"/>
      <c r="M135" s="1" t="str">
        <f ca="1">IFERROR(__xludf.DUMMYFUNCTION("""COMPUTED_VALUE"""),"Faculty of Computer &amp; Information Science")</f>
        <v>Faculty of Computer &amp; Information Science</v>
      </c>
      <c r="N135" s="1"/>
      <c r="O135" s="1" t="str">
        <f ca="1">IFERROR(__xludf.DUMMYFUNCTION("""COMPUTED_VALUE"""),"2nd Year")</f>
        <v>2nd Year</v>
      </c>
      <c r="R135" s="1" t="s">
        <v>284</v>
      </c>
      <c r="S135" s="1" t="s">
        <v>173</v>
      </c>
    </row>
    <row r="136" spans="1:19">
      <c r="A136" s="1" t="str">
        <f ca="1">IFERROR(__xludf.DUMMYFUNCTION("""COMPUTED_VALUE"""),"menna mahmoud ali rashed")</f>
        <v>menna mahmoud ali rashed</v>
      </c>
      <c r="B136" s="1" t="str">
        <f ca="1">IFERROR(__xludf.DUMMYFUNCTION("""COMPUTED_VALUE"""),"menna_rashed@outlook.com")</f>
        <v>menna_rashed@outlook.com</v>
      </c>
      <c r="C136" s="1">
        <f ca="1">IFERROR(__xludf.DUMMYFUNCTION("""COMPUTED_VALUE"""),201015409065)</f>
        <v>201015409065</v>
      </c>
      <c r="D136" s="1" t="str">
        <f ca="1">IFERROR(__xludf.DUMMYFUNCTION("""COMPUTED_VALUE"""),"El-Mahalla El-Kubra")</f>
        <v>El-Mahalla El-Kubra</v>
      </c>
      <c r="E136" s="12" t="str">
        <f ca="1">IFERROR(__xludf.DUMMYFUNCTION("""COMPUTED_VALUE"""),"https://www.facebook.com/mena.rashed.52?mibextid=ZbWKwL")</f>
        <v>https://www.facebook.com/mena.rashed.52?mibextid=ZbWKwL</v>
      </c>
      <c r="F136" s="12" t="str">
        <f ca="1">IFERROR(__xludf.DUMMYFUNCTION("""COMPUTED_VALUE"""),"https://discord.com/channels/@me")</f>
        <v>https://discord.com/channels/@me</v>
      </c>
      <c r="G136" s="12" t="str">
        <f ca="1">IFERROR(__xludf.DUMMYFUNCTION("""COMPUTED_VALUE"""),"https://x.com/mennarashe62803?t=ffbO_1ByhVEYelXWWu1hSw&amp;s=09")</f>
        <v>https://x.com/mennarashe62803?t=ffbO_1ByhVEYelXWWu1hSw&amp;s=09</v>
      </c>
      <c r="H136" s="12" t="str">
        <f ca="1">IFERROR(__xludf.DUMMYFUNCTION("""COMPUTED_VALUE"""),"https://www.linkedin.com/in/menna-rashed?utm_source=share&amp;utm_campaign=share_via&amp;utm_content=profile&amp;utm_medium=android_app")</f>
        <v>https://www.linkedin.com/in/menna-rashed?utm_source=share&amp;utm_campaign=share_via&amp;utm_content=profile&amp;utm_medium=android_app</v>
      </c>
      <c r="I136" s="12" t="str">
        <f ca="1">IFERROR(__xludf.DUMMYFUNCTION("""COMPUTED_VALUE"""),"https://github.com/mennarashed01")</f>
        <v>https://github.com/mennarashed01</v>
      </c>
      <c r="J136" s="12" t="str">
        <f ca="1">IFERROR(__xludf.DUMMYFUNCTION("""COMPUTED_VALUE"""),"https://www.behance.net/mennarashed3")</f>
        <v>https://www.behance.net/mennarashed3</v>
      </c>
      <c r="K136" s="1" t="str">
        <f ca="1">IFERROR(__xludf.DUMMYFUNCTION("""COMPUTED_VALUE"""),"Mansoura University")</f>
        <v>Mansoura University</v>
      </c>
      <c r="L136" s="1"/>
      <c r="M136" s="1" t="str">
        <f ca="1">IFERROR(__xludf.DUMMYFUNCTION("""COMPUTED_VALUE"""),"Faculty of Computer &amp; Information Science")</f>
        <v>Faculty of Computer &amp; Information Science</v>
      </c>
      <c r="N136" s="1"/>
      <c r="O136" s="1" t="str">
        <f ca="1">IFERROR(__xludf.DUMMYFUNCTION("""COMPUTED_VALUE"""),"2nd Year")</f>
        <v>2nd Year</v>
      </c>
      <c r="R136" s="1" t="s">
        <v>285</v>
      </c>
      <c r="S136" s="1" t="s">
        <v>173</v>
      </c>
    </row>
    <row r="137" spans="1:19">
      <c r="A137" s="1" t="str">
        <f ca="1">IFERROR(__xludf.DUMMYFUNCTION("""COMPUTED_VALUE"""),"محمد احمد الجهيني")</f>
        <v>محمد احمد الجهيني</v>
      </c>
      <c r="B137" s="1" t="str">
        <f ca="1">IFERROR(__xludf.DUMMYFUNCTION("""COMPUTED_VALUE"""),"mohamedel_jhany@icloud.com")</f>
        <v>mohamedel_jhany@icloud.com</v>
      </c>
      <c r="C137" s="1">
        <f ca="1">IFERROR(__xludf.DUMMYFUNCTION("""COMPUTED_VALUE"""),201551047771)</f>
        <v>201551047771</v>
      </c>
      <c r="D137" s="1" t="str">
        <f ca="1">IFERROR(__xludf.DUMMYFUNCTION("""COMPUTED_VALUE"""),"المنصوره")</f>
        <v>المنصوره</v>
      </c>
      <c r="E137" s="12" t="str">
        <f ca="1">IFERROR(__xludf.DUMMYFUNCTION("""COMPUTED_VALUE"""),"https://www.facebook.com/mohamod.ahmed.9?mibextid=JRoKGi")</f>
        <v>https://www.facebook.com/mohamod.ahmed.9?mibextid=JRoKGi</v>
      </c>
      <c r="F137" s="1" t="str">
        <f ca="1">IFERROR(__xludf.DUMMYFUNCTION("""COMPUTED_VALUE"""),"mohamedeljhany")</f>
        <v>mohamedeljhany</v>
      </c>
      <c r="G137" s="1"/>
      <c r="H137" s="1"/>
      <c r="I137" s="1"/>
      <c r="J137" s="1"/>
      <c r="K137" s="1" t="str">
        <f ca="1">IFERROR(__xludf.DUMMYFUNCTION("""COMPUTED_VALUE"""),"Mansoura University")</f>
        <v>Mansoura University</v>
      </c>
      <c r="L137" s="1"/>
      <c r="M137" s="1" t="str">
        <f ca="1">IFERROR(__xludf.DUMMYFUNCTION("""COMPUTED_VALUE"""),"Faculty of Computer &amp; Information Science")</f>
        <v>Faculty of Computer &amp; Information Science</v>
      </c>
      <c r="N137" s="1"/>
      <c r="O137" s="1" t="str">
        <f ca="1">IFERROR(__xludf.DUMMYFUNCTION("""COMPUTED_VALUE"""),"2nd Year")</f>
        <v>2nd Year</v>
      </c>
      <c r="R137" s="1" t="s">
        <v>286</v>
      </c>
      <c r="S137" s="1" t="s">
        <v>173</v>
      </c>
    </row>
    <row r="138" spans="1:19">
      <c r="A138" s="1" t="str">
        <f ca="1">IFERROR(__xludf.DUMMYFUNCTION("""COMPUTED_VALUE"""),"Mustafa Allithey")</f>
        <v>Mustafa Allithey</v>
      </c>
      <c r="B138" s="1" t="str">
        <f ca="1">IFERROR(__xludf.DUMMYFUNCTION("""COMPUTED_VALUE"""),"mustafaallithey@gmail.com")</f>
        <v>mustafaallithey@gmail.com</v>
      </c>
      <c r="C138" s="1">
        <f ca="1">IFERROR(__xludf.DUMMYFUNCTION("""COMPUTED_VALUE"""),201097613801)</f>
        <v>201097613801</v>
      </c>
      <c r="D138" s="1" t="str">
        <f ca="1">IFERROR(__xludf.DUMMYFUNCTION("""COMPUTED_VALUE"""),"Elmansoura")</f>
        <v>Elmansoura</v>
      </c>
      <c r="E138" s="12" t="str">
        <f ca="1">IFERROR(__xludf.DUMMYFUNCTION("""COMPUTED_VALUE"""),"https://www.facebook.com/profile.php?id=61564666443048")</f>
        <v>https://www.facebook.com/profile.php?id=61564666443048</v>
      </c>
      <c r="F138" s="12" t="str">
        <f ca="1">IFERROR(__xludf.DUMMYFUNCTION("""COMPUTED_VALUE"""),"https://discord.gg/DYwUGJMp")</f>
        <v>https://discord.gg/DYwUGJMp</v>
      </c>
      <c r="G138" s="1"/>
      <c r="H138" s="12" t="str">
        <f ca="1">IFERROR(__xludf.DUMMYFUNCTION("""COMPUTED_VALUE"""),"https://www.linkedin.com/in/mustafa-allithey-6ba11a310?utm_source=share&amp;utm_campaign=share_via&amp;utm_content=profile&amp;utm_medium=ios_app")</f>
        <v>https://www.linkedin.com/in/mustafa-allithey-6ba11a310?utm_source=share&amp;utm_campaign=share_via&amp;utm_content=profile&amp;utm_medium=ios_app</v>
      </c>
      <c r="I138" s="12" t="str">
        <f ca="1">IFERROR(__xludf.DUMMYFUNCTION("""COMPUTED_VALUE"""),"https://github.com/ellithey566/ellithey566/tree/main")</f>
        <v>https://github.com/ellithey566/ellithey566/tree/main</v>
      </c>
      <c r="J138" s="1"/>
      <c r="K138" s="1" t="str">
        <f ca="1">IFERROR(__xludf.DUMMYFUNCTION("""COMPUTED_VALUE"""),"Mansoura University")</f>
        <v>Mansoura University</v>
      </c>
      <c r="L138" s="1"/>
      <c r="M138" s="1" t="str">
        <f ca="1">IFERROR(__xludf.DUMMYFUNCTION("""COMPUTED_VALUE"""),"Faculty of Computer &amp; Information Science")</f>
        <v>Faculty of Computer &amp; Information Science</v>
      </c>
      <c r="N138" s="1"/>
      <c r="O138" s="1" t="str">
        <f ca="1">IFERROR(__xludf.DUMMYFUNCTION("""COMPUTED_VALUE"""),"1st Year")</f>
        <v>1st Year</v>
      </c>
      <c r="R138" s="1" t="s">
        <v>287</v>
      </c>
      <c r="S138" s="1" t="s">
        <v>176</v>
      </c>
    </row>
    <row r="139" spans="1:19">
      <c r="A139" s="1" t="str">
        <f ca="1">IFERROR(__xludf.DUMMYFUNCTION("""COMPUTED_VALUE"""),"Yahya Fahmy")</f>
        <v>Yahya Fahmy</v>
      </c>
      <c r="B139" s="1" t="str">
        <f ca="1">IFERROR(__xludf.DUMMYFUNCTION("""COMPUTED_VALUE"""),"yyahyayy8@gmail.com")</f>
        <v>yyahyayy8@gmail.com</v>
      </c>
      <c r="C139" s="1">
        <f ca="1">IFERROR(__xludf.DUMMYFUNCTION("""COMPUTED_VALUE"""),201098004108)</f>
        <v>201098004108</v>
      </c>
      <c r="D139" s="1" t="str">
        <f ca="1">IFERROR(__xludf.DUMMYFUNCTION("""COMPUTED_VALUE"""),"Banha")</f>
        <v>Banha</v>
      </c>
      <c r="E139" s="12" t="str">
        <f ca="1">IFERROR(__xludf.DUMMYFUNCTION("""COMPUTED_VALUE"""),"https://www.facebook.com/yyahya.yyahya.167?mibextid=ZbWKwL")</f>
        <v>https://www.facebook.com/yyahya.yyahya.167?mibextid=ZbWKwL</v>
      </c>
      <c r="F139" s="1" t="str">
        <f ca="1">IFERROR(__xludf.DUMMYFUNCTION("""COMPUTED_VALUE"""),"Don't have.com")</f>
        <v>Don't have.com</v>
      </c>
      <c r="G139" s="12" t="str">
        <f ca="1">IFERROR(__xludf.DUMMYFUNCTION("""COMPUTED_VALUE"""),"fdjdjsj.com")</f>
        <v>fdjdjsj.com</v>
      </c>
      <c r="H139" s="12" t="str">
        <f ca="1">IFERROR(__xludf.DUMMYFUNCTION("""COMPUTED_VALUE"""),"https://www.linkedin.com/in/yahya-fahmy-a178a2235?utm_source=share&amp;utm_campaign=share_via&amp;utm_content=profile&amp;utm_medium=android_app")</f>
        <v>https://www.linkedin.com/in/yahya-fahmy-a178a2235?utm_source=share&amp;utm_campaign=share_via&amp;utm_content=profile&amp;utm_medium=android_app</v>
      </c>
      <c r="I139" s="12" t="str">
        <f ca="1">IFERROR(__xludf.DUMMYFUNCTION("""COMPUTED_VALUE"""),"sisiis.com")</f>
        <v>sisiis.com</v>
      </c>
      <c r="J139" s="12" t="str">
        <f ca="1">IFERROR(__xludf.DUMMYFUNCTION("""COMPUTED_VALUE"""),"aesaa.com")</f>
        <v>aesaa.com</v>
      </c>
      <c r="K139" s="1" t="str">
        <f ca="1">IFERROR(__xludf.DUMMYFUNCTION("""COMPUTED_VALUE"""),"Other")</f>
        <v>Other</v>
      </c>
      <c r="L139" s="1"/>
      <c r="M139" s="1" t="str">
        <f ca="1">IFERROR(__xludf.DUMMYFUNCTION("""COMPUTED_VALUE"""),"Faculty of Engineering")</f>
        <v>Faculty of Engineering</v>
      </c>
      <c r="N139" s="1"/>
      <c r="O139" s="1" t="str">
        <f ca="1">IFERROR(__xludf.DUMMYFUNCTION("""COMPUTED_VALUE"""),"3rd Year")</f>
        <v>3rd Year</v>
      </c>
      <c r="R139" s="1" t="s">
        <v>288</v>
      </c>
      <c r="S139" s="1" t="s">
        <v>170</v>
      </c>
    </row>
    <row r="140" spans="1:19">
      <c r="A140" s="1" t="str">
        <f ca="1">IFERROR(__xludf.DUMMYFUNCTION("""COMPUTED_VALUE"""),"Nour saad Elsharkawy")</f>
        <v>Nour saad Elsharkawy</v>
      </c>
      <c r="B140" s="1" t="str">
        <f ca="1">IFERROR(__xludf.DUMMYFUNCTION("""COMPUTED_VALUE"""),"nourelsharkawy546@gmail.com")</f>
        <v>nourelsharkawy546@gmail.com</v>
      </c>
      <c r="C140" s="1">
        <f ca="1">IFERROR(__xludf.DUMMYFUNCTION("""COMPUTED_VALUE"""),201091510199)</f>
        <v>201091510199</v>
      </c>
      <c r="D140" s="1" t="str">
        <f ca="1">IFERROR(__xludf.DUMMYFUNCTION("""COMPUTED_VALUE"""),"شارع قناه السويس خلف مستشفى الخير")</f>
        <v>شارع قناه السويس خلف مستشفى الخير</v>
      </c>
      <c r="E140" s="12" t="str">
        <f ca="1">IFERROR(__xludf.DUMMYFUNCTION("""COMPUTED_VALUE"""),"https://www.facebook.com/share/1EFr653UAg/")</f>
        <v>https://www.facebook.com/share/1EFr653UAg/</v>
      </c>
      <c r="F140" s="1" t="str">
        <f ca="1">IFERROR(__xludf.DUMMYFUNCTION("""COMPUTED_VALUE"""),"nourelsharkawy")</f>
        <v>nourelsharkawy</v>
      </c>
      <c r="G140" s="1"/>
      <c r="H140" s="12" t="str">
        <f ca="1">IFERROR(__xludf.DUMMYFUNCTION("""COMPUTED_VALUE"""),"https://www.linkedin.com/in/nour-elsharkawy-9139b22a8?utm_source=share&amp;utm_campaign=share_via&amp;utm_content=profile&amp;utm_medium=android_app")</f>
        <v>https://www.linkedin.com/in/nour-elsharkawy-9139b22a8?utm_source=share&amp;utm_campaign=share_via&amp;utm_content=profile&amp;utm_medium=android_app</v>
      </c>
      <c r="I140" s="1"/>
      <c r="J140" s="1"/>
      <c r="K140" s="1" t="str">
        <f ca="1">IFERROR(__xludf.DUMMYFUNCTION("""COMPUTED_VALUE"""),"Mansoura University")</f>
        <v>Mansoura University</v>
      </c>
      <c r="L140" s="1"/>
      <c r="M140" s="1" t="str">
        <f ca="1">IFERROR(__xludf.DUMMYFUNCTION("""COMPUTED_VALUE"""),"Faculty of Computer &amp; Information Science")</f>
        <v>Faculty of Computer &amp; Information Science</v>
      </c>
      <c r="N140" s="1"/>
      <c r="O140" s="1" t="str">
        <f ca="1">IFERROR(__xludf.DUMMYFUNCTION("""COMPUTED_VALUE"""),"2nd Year")</f>
        <v>2nd Year</v>
      </c>
      <c r="R140" s="1" t="s">
        <v>289</v>
      </c>
      <c r="S140" s="1" t="s">
        <v>173</v>
      </c>
    </row>
    <row r="141" spans="1:19">
      <c r="A141" s="1" t="str">
        <f ca="1">IFERROR(__xludf.DUMMYFUNCTION("""COMPUTED_VALUE"""),"Maryam Abdallah Mohamed")</f>
        <v>Maryam Abdallah Mohamed</v>
      </c>
      <c r="B141" s="1" t="str">
        <f ca="1">IFERROR(__xludf.DUMMYFUNCTION("""COMPUTED_VALUE"""),"maryamabdallah698@gmail.com")</f>
        <v>maryamabdallah698@gmail.com</v>
      </c>
      <c r="C141" s="1">
        <f ca="1">IFERROR(__xludf.DUMMYFUNCTION("""COMPUTED_VALUE"""),201030626110)</f>
        <v>201030626110</v>
      </c>
      <c r="D141" s="1" t="str">
        <f ca="1">IFERROR(__xludf.DUMMYFUNCTION("""COMPUTED_VALUE"""),"ElMansoura")</f>
        <v>ElMansoura</v>
      </c>
      <c r="E141" s="12" t="str">
        <f ca="1">IFERROR(__xludf.DUMMYFUNCTION("""COMPUTED_VALUE"""),"https://www.facebook.com/maryamabdallahbelal.belal")</f>
        <v>https://www.facebook.com/maryamabdallahbelal.belal</v>
      </c>
      <c r="F141" s="1" t="str">
        <f ca="1">IFERROR(__xludf.DUMMYFUNCTION("""COMPUTED_VALUE"""),"maryam_97112")</f>
        <v>maryam_97112</v>
      </c>
      <c r="G141" s="12" t="str">
        <f ca="1">IFERROR(__xludf.DUMMYFUNCTION("""COMPUTED_VALUE"""),"https://x.com/MaRyam3bdallahh")</f>
        <v>https://x.com/MaRyam3bdallahh</v>
      </c>
      <c r="H141" s="1"/>
      <c r="I141" s="12" t="str">
        <f ca="1">IFERROR(__xludf.DUMMYFUNCTION("""COMPUTED_VALUE"""),"https://github.com/maryamabdallahhh")</f>
        <v>https://github.com/maryamabdallahhh</v>
      </c>
      <c r="J141" s="1"/>
      <c r="K141" s="1" t="str">
        <f ca="1">IFERROR(__xludf.DUMMYFUNCTION("""COMPUTED_VALUE"""),"Mansoura University")</f>
        <v>Mansoura University</v>
      </c>
      <c r="L141" s="1"/>
      <c r="M141" s="1" t="str">
        <f ca="1">IFERROR(__xludf.DUMMYFUNCTION("""COMPUTED_VALUE"""),"Faculty of Computer &amp; Information Science")</f>
        <v>Faculty of Computer &amp; Information Science</v>
      </c>
      <c r="N141" s="1"/>
      <c r="O141" s="1" t="str">
        <f ca="1">IFERROR(__xludf.DUMMYFUNCTION("""COMPUTED_VALUE"""),"3rd Year")</f>
        <v>3rd Year</v>
      </c>
      <c r="R141" s="1" t="s">
        <v>290</v>
      </c>
      <c r="S141" s="1" t="s">
        <v>170</v>
      </c>
    </row>
    <row r="142" spans="1:19">
      <c r="A142" s="1" t="str">
        <f ca="1">IFERROR(__xludf.DUMMYFUNCTION("""COMPUTED_VALUE"""),"Esraa Mohamed Khfaga")</f>
        <v>Esraa Mohamed Khfaga</v>
      </c>
      <c r="B142" s="1" t="str">
        <f ca="1">IFERROR(__xludf.DUMMYFUNCTION("""COMPUTED_VALUE"""),"esraakhafaga018@gmail.com")</f>
        <v>esraakhafaga018@gmail.com</v>
      </c>
      <c r="C142" s="1">
        <f ca="1">IFERROR(__xludf.DUMMYFUNCTION("""COMPUTED_VALUE"""),201062318923)</f>
        <v>201062318923</v>
      </c>
      <c r="D142" s="1" t="str">
        <f ca="1">IFERROR(__xludf.DUMMYFUNCTION("""COMPUTED_VALUE"""),"El-Senbellawein")</f>
        <v>El-Senbellawein</v>
      </c>
      <c r="E142" s="12" t="str">
        <f ca="1">IFERROR(__xludf.DUMMYFUNCTION("""COMPUTED_VALUE"""),"https://www.facebook.com/esraa.khafaga.77?mibextid=ZbWKwL")</f>
        <v>https://www.facebook.com/esraa.khafaga.77?mibextid=ZbWKwL</v>
      </c>
      <c r="F142" s="1" t="str">
        <f ca="1">IFERROR(__xludf.DUMMYFUNCTION("""COMPUTED_VALUE"""),"معنديش ")</f>
        <v xml:space="preserve">معنديش </v>
      </c>
      <c r="G142" s="12" t="str">
        <f ca="1">IFERROR(__xludf.DUMMYFUNCTION("""COMPUTED_VALUE"""),"https://x.com/EsraaMo07592744?t=rYYssPf1y8ZIKtGkXiY8yQ&amp;s=09")</f>
        <v>https://x.com/EsraaMo07592744?t=rYYssPf1y8ZIKtGkXiY8yQ&amp;s=09</v>
      </c>
      <c r="H142" s="12" t="str">
        <f ca="1">IFERROR(__xludf.DUMMYFUNCTION("""COMPUTED_VALUE"""),"https://www.linkedin.com/in/esraa-khafaga-b341b3327?utm_source=share&amp;utm_campaign=share_via&amp;utm_content=profile&amp;utm_medium=android_app")</f>
        <v>https://www.linkedin.com/in/esraa-khafaga-b341b3327?utm_source=share&amp;utm_campaign=share_via&amp;utm_content=profile&amp;utm_medium=android_app</v>
      </c>
      <c r="I142" s="1"/>
      <c r="J142" s="1"/>
      <c r="K142" s="1" t="str">
        <f ca="1">IFERROR(__xludf.DUMMYFUNCTION("""COMPUTED_VALUE"""),"Mansoura University")</f>
        <v>Mansoura University</v>
      </c>
      <c r="L142" s="1"/>
      <c r="M142" s="1" t="str">
        <f ca="1">IFERROR(__xludf.DUMMYFUNCTION("""COMPUTED_VALUE"""),"Faculty of Computer &amp; Information Science")</f>
        <v>Faculty of Computer &amp; Information Science</v>
      </c>
      <c r="N142" s="1"/>
      <c r="O142" s="1" t="str">
        <f ca="1">IFERROR(__xludf.DUMMYFUNCTION("""COMPUTED_VALUE"""),"2nd Year")</f>
        <v>2nd Year</v>
      </c>
      <c r="R142" s="1" t="s">
        <v>291</v>
      </c>
      <c r="S142" s="1" t="s">
        <v>173</v>
      </c>
    </row>
    <row r="143" spans="1:19">
      <c r="A143" s="1" t="str">
        <f ca="1">IFERROR(__xludf.DUMMYFUNCTION("""COMPUTED_VALUE"""),"Jana Mohammed")</f>
        <v>Jana Mohammed</v>
      </c>
      <c r="B143" s="1" t="str">
        <f ca="1">IFERROR(__xludf.DUMMYFUNCTION("""COMPUTED_VALUE"""),"janamohammed248@gmail.com")</f>
        <v>janamohammed248@gmail.com</v>
      </c>
      <c r="C143" s="1">
        <f ca="1">IFERROR(__xludf.DUMMYFUNCTION("""COMPUTED_VALUE"""),201099596125)</f>
        <v>201099596125</v>
      </c>
      <c r="D143" s="1" t="str">
        <f ca="1">IFERROR(__xludf.DUMMYFUNCTION("""COMPUTED_VALUE"""),"توريل شارع الامام محمد عبده امام حلواني زكريا")</f>
        <v>توريل شارع الامام محمد عبده امام حلواني زكريا</v>
      </c>
      <c r="E143" s="12" t="str">
        <f ca="1">IFERROR(__xludf.DUMMYFUNCTION("""COMPUTED_VALUE"""),"https://www.facebook.com/profile.php?id=61551146000364&amp;mibextid=LQQJ4d")</f>
        <v>https://www.facebook.com/profile.php?id=61551146000364&amp;mibextid=LQQJ4d</v>
      </c>
      <c r="F143" s="1" t="str">
        <f ca="1">IFERROR(__xludf.DUMMYFUNCTION("""COMPUTED_VALUE"""),"078_831")</f>
        <v>078_831</v>
      </c>
      <c r="G143" s="12" t="str">
        <f ca="1">IFERROR(__xludf.DUMMYFUNCTION("""COMPUTED_VALUE"""),"https://x.com/JMohammed248")</f>
        <v>https://x.com/JMohammed248</v>
      </c>
      <c r="H143" s="12" t="str">
        <f ca="1">IFERROR(__xludf.DUMMYFUNCTION("""COMPUTED_VALUE"""),"https://www.linkedin.com/me?trk=p_mwlite_feed-secondary_nav")</f>
        <v>https://www.linkedin.com/me?trk=p_mwlite_feed-secondary_nav</v>
      </c>
      <c r="I143" s="1"/>
      <c r="J143" s="1"/>
      <c r="K143" s="1" t="str">
        <f ca="1">IFERROR(__xludf.DUMMYFUNCTION("""COMPUTED_VALUE"""),"Mansoura University")</f>
        <v>Mansoura University</v>
      </c>
      <c r="L143" s="1"/>
      <c r="M143" s="1" t="str">
        <f ca="1">IFERROR(__xludf.DUMMYFUNCTION("""COMPUTED_VALUE"""),"Faculty of Computer &amp; Information Science")</f>
        <v>Faculty of Computer &amp; Information Science</v>
      </c>
      <c r="N143" s="1"/>
      <c r="O143" s="1" t="str">
        <f ca="1">IFERROR(__xludf.DUMMYFUNCTION("""COMPUTED_VALUE"""),"1st Year")</f>
        <v>1st Year</v>
      </c>
      <c r="R143" s="1" t="s">
        <v>292</v>
      </c>
      <c r="S143" s="1" t="s">
        <v>176</v>
      </c>
    </row>
    <row r="144" spans="1:19">
      <c r="A144" s="1" t="str">
        <f ca="1">IFERROR(__xludf.DUMMYFUNCTION("""COMPUTED_VALUE"""),"فريدة محمود المكاوي موسى ")</f>
        <v xml:space="preserve">فريدة محمود المكاوي موسى </v>
      </c>
      <c r="B144" s="1" t="str">
        <f ca="1">IFERROR(__xludf.DUMMYFUNCTION("""COMPUTED_VALUE"""),"faredambmoodmkay1@gmail.com")</f>
        <v>faredambmoodmkay1@gmail.com</v>
      </c>
      <c r="C144" s="1">
        <f ca="1">IFERROR(__xludf.DUMMYFUNCTION("""COMPUTED_VALUE"""),201204284156)</f>
        <v>201204284156</v>
      </c>
      <c r="D144" s="1" t="str">
        <f ca="1">IFERROR(__xludf.DUMMYFUNCTION("""COMPUTED_VALUE"""),"المنصوره ")</f>
        <v xml:space="preserve">المنصوره </v>
      </c>
      <c r="E144" s="12" t="str">
        <f ca="1">IFERROR(__xludf.DUMMYFUNCTION("""COMPUTED_VALUE"""),"https://www.facebook.com/profile.php?id=100004946415208&amp;mibextid=LQQJ4d")</f>
        <v>https://www.facebook.com/profile.php?id=100004946415208&amp;mibextid=LQQJ4d</v>
      </c>
      <c r="F144" s="1" t="str">
        <f ca="1">IFERROR(__xludf.DUMMYFUNCTION("""COMPUTED_VALUE"""),"@Farida0484")</f>
        <v>@Farida0484</v>
      </c>
      <c r="G144" s="12" t="str">
        <f ca="1">IFERROR(__xludf.DUMMYFUNCTION("""COMPUTED_VALUE"""),"https://x.com/fareda87238411/status/1718490698725343700?s=46&amp;t=7NEUuB-poe4vTIx8Tgzfxw")</f>
        <v>https://x.com/fareda87238411/status/1718490698725343700?s=46&amp;t=7NEUuB-poe4vTIx8Tgzfxw</v>
      </c>
      <c r="H144" s="12" t="str">
        <f ca="1">IFERROR(__xludf.DUMMYFUNCTION("""COMPUTED_VALUE"""),"https://www.linkedin.com/in/farida-almekkawi-a6720329a?utm_source=share&amp;utm_campaign=share_via&amp;utm_content=profile&amp;utm_medium=ios_app")</f>
        <v>https://www.linkedin.com/in/farida-almekkawi-a6720329a?utm_source=share&amp;utm_campaign=share_via&amp;utm_content=profile&amp;utm_medium=ios_app</v>
      </c>
      <c r="I144" s="12" t="str">
        <f ca="1">IFERROR(__xludf.DUMMYFUNCTION("""COMPUTED_VALUE"""),"https://github.com/FaridaAlmekkawi")</f>
        <v>https://github.com/FaridaAlmekkawi</v>
      </c>
      <c r="J144" s="1"/>
      <c r="K144" s="1" t="str">
        <f ca="1">IFERROR(__xludf.DUMMYFUNCTION("""COMPUTED_VALUE"""),"Mansoura University")</f>
        <v>Mansoura University</v>
      </c>
      <c r="L144" s="1"/>
      <c r="M144" s="1" t="str">
        <f ca="1">IFERROR(__xludf.DUMMYFUNCTION("""COMPUTED_VALUE"""),"Faculty of Computer &amp; Information Science")</f>
        <v>Faculty of Computer &amp; Information Science</v>
      </c>
      <c r="N144" s="1"/>
      <c r="O144" s="1" t="str">
        <f ca="1">IFERROR(__xludf.DUMMYFUNCTION("""COMPUTED_VALUE"""),"3rd Year")</f>
        <v>3rd Year</v>
      </c>
      <c r="R144" s="1" t="s">
        <v>293</v>
      </c>
      <c r="S144" s="1" t="s">
        <v>170</v>
      </c>
    </row>
    <row r="145" spans="1:18">
      <c r="A145" s="1" t="str">
        <f ca="1">IFERROR(__xludf.DUMMYFUNCTION("""COMPUTED_VALUE"""),"youssef sameh Fekry ")</f>
        <v xml:space="preserve">youssef sameh Fekry </v>
      </c>
      <c r="B145" s="1" t="str">
        <f ca="1">IFERROR(__xludf.DUMMYFUNCTION("""COMPUTED_VALUE"""),"youssefelazab43@gmail.com")</f>
        <v>youssefelazab43@gmail.com</v>
      </c>
      <c r="C145" s="1">
        <f ca="1">IFERROR(__xludf.DUMMYFUNCTION("""COMPUTED_VALUE"""),201122879196)</f>
        <v>201122879196</v>
      </c>
      <c r="D145" s="1" t="str">
        <f ca="1">IFERROR(__xludf.DUMMYFUNCTION("""COMPUTED_VALUE"""),"Bani Obaid - Dakahlia ")</f>
        <v xml:space="preserve">Bani Obaid - Dakahlia </v>
      </c>
      <c r="E145" s="12" t="str">
        <f ca="1">IFERROR(__xludf.DUMMYFUNCTION("""COMPUTED_VALUE"""),"https://www.facebook.com/profile.php?id=100090361726968&amp;mibextid=ZbWKwL")</f>
        <v>https://www.facebook.com/profile.php?id=100090361726968&amp;mibextid=ZbWKwL</v>
      </c>
      <c r="F145" s="12" t="str">
        <f ca="1">IFERROR(__xludf.DUMMYFUNCTION("""COMPUTED_VALUE"""),"https://www.facebook.com/profile.php?id=100090361726968&amp;mibextid=ZbWKwL")</f>
        <v>https://www.facebook.com/profile.php?id=100090361726968&amp;mibextid=ZbWKwL</v>
      </c>
      <c r="G145" s="1"/>
      <c r="H145" s="1"/>
      <c r="I145" s="1"/>
      <c r="J145" s="1"/>
      <c r="K145" s="1" t="str">
        <f ca="1">IFERROR(__xludf.DUMMYFUNCTION("""COMPUTED_VALUE"""),"Mansoura University")</f>
        <v>Mansoura University</v>
      </c>
      <c r="L145" s="1"/>
      <c r="M145" s="1" t="str">
        <f ca="1">IFERROR(__xludf.DUMMYFUNCTION("""COMPUTED_VALUE"""),"Faculty of Computer &amp; Information Science")</f>
        <v>Faculty of Computer &amp; Information Science</v>
      </c>
      <c r="N145" s="1"/>
      <c r="O145" s="1"/>
      <c r="R145" s="1" t="s">
        <v>294</v>
      </c>
    </row>
    <row r="146" spans="1:18">
      <c r="A146" s="1" t="str">
        <f ca="1">IFERROR(__xludf.DUMMYFUNCTION("""COMPUTED_VALUE"""),"Khaled Megahed")</f>
        <v>Khaled Megahed</v>
      </c>
      <c r="B146" s="1" t="str">
        <f ca="1">IFERROR(__xludf.DUMMYFUNCTION("""COMPUTED_VALUE"""),"khaled00megahed@gmail.com")</f>
        <v>khaled00megahed@gmail.com</v>
      </c>
      <c r="C146" s="1">
        <f ca="1">IFERROR(__xludf.DUMMYFUNCTION("""COMPUTED_VALUE"""),201012414859)</f>
        <v>201012414859</v>
      </c>
      <c r="D146" s="1" t="str">
        <f ca="1">IFERROR(__xludf.DUMMYFUNCTION("""COMPUTED_VALUE"""),"daqahlia manzala ")</f>
        <v xml:space="preserve">daqahlia manzala </v>
      </c>
      <c r="E146" s="12" t="str">
        <f ca="1">IFERROR(__xludf.DUMMYFUNCTION("""COMPUTED_VALUE"""),"https://www.facebook.com/share/1BS7r5xXMB/")</f>
        <v>https://www.facebook.com/share/1BS7r5xXMB/</v>
      </c>
      <c r="F146" s="1" t="str">
        <f ca="1">IFERROR(__xludf.DUMMYFUNCTION("""COMPUTED_VALUE"""),"khaledmegahed2")</f>
        <v>khaledmegahed2</v>
      </c>
      <c r="G146" s="1"/>
      <c r="H146" s="12" t="str">
        <f ca="1">IFERROR(__xludf.DUMMYFUNCTION("""COMPUTED_VALUE"""),"https://www.linkedin.com/in/khaled-megahed-3299a6289")</f>
        <v>https://www.linkedin.com/in/khaled-megahed-3299a6289</v>
      </c>
      <c r="I146" s="12" t="str">
        <f ca="1">IFERROR(__xludf.DUMMYFUNCTION("""COMPUTED_VALUE"""),"https://github.com/Khaled-Megahed")</f>
        <v>https://github.com/Khaled-Megahed</v>
      </c>
      <c r="J146" s="1"/>
      <c r="K146" s="1" t="str">
        <f ca="1">IFERROR(__xludf.DUMMYFUNCTION("""COMPUTED_VALUE"""),"Mansoura University")</f>
        <v>Mansoura University</v>
      </c>
      <c r="L146" s="1"/>
      <c r="M146" s="1" t="str">
        <f ca="1">IFERROR(__xludf.DUMMYFUNCTION("""COMPUTED_VALUE"""),"Faculty of Computer &amp; Information Science")</f>
        <v>Faculty of Computer &amp; Information Science</v>
      </c>
      <c r="N146" s="1"/>
      <c r="O146" s="1" t="str">
        <f ca="1">IFERROR(__xludf.DUMMYFUNCTION("""COMPUTED_VALUE"""),"2nd Year")</f>
        <v>2nd Year</v>
      </c>
      <c r="R146" s="1" t="s">
        <v>295</v>
      </c>
    </row>
    <row r="147" spans="1:18">
      <c r="A147" s="1" t="str">
        <f ca="1">IFERROR(__xludf.DUMMYFUNCTION("""COMPUTED_VALUE"""),"Reda mahmoud atia Ragab")</f>
        <v>Reda mahmoud atia Ragab</v>
      </c>
      <c r="B147" s="1" t="str">
        <f ca="1">IFERROR(__xludf.DUMMYFUNCTION("""COMPUTED_VALUE"""),"ooonhiimn@gmail.com")</f>
        <v>ooonhiimn@gmail.com</v>
      </c>
      <c r="C147" s="1">
        <f ca="1">IFERROR(__xludf.DUMMYFUNCTION("""COMPUTED_VALUE"""),201204795103)</f>
        <v>201204795103</v>
      </c>
      <c r="D147" s="1" t="str">
        <f ca="1">IFERROR(__xludf.DUMMYFUNCTION("""COMPUTED_VALUE"""),"40 min")</f>
        <v>40 min</v>
      </c>
      <c r="E147" s="12" t="str">
        <f ca="1">IFERROR(__xludf.DUMMYFUNCTION("""COMPUTED_VALUE"""),"https://www.facebook.com/profile.php?id=100054605572796&amp;mibextid=kFxxJD")</f>
        <v>https://www.facebook.com/profile.php?id=100054605572796&amp;mibextid=kFxxJD</v>
      </c>
      <c r="F147" s="1" t="str">
        <f ca="1">IFERROR(__xludf.DUMMYFUNCTION("""COMPUTED_VALUE"""),"redamahmoud")</f>
        <v>redamahmoud</v>
      </c>
      <c r="G147" s="1"/>
      <c r="H147" s="12" t="str">
        <f ca="1">IFERROR(__xludf.DUMMYFUNCTION("""COMPUTED_VALUE"""),"https://www.linkedin.com/in/reda-mahmoud-5b7454303?lipi=urn%3Ali%3Apage%3Ad_flagship3_profile_view_base_contact_details%3B4RNScX4WSAaHvI3EBDmBCg%3D%3D")</f>
        <v>https://www.linkedin.com/in/reda-mahmoud-5b7454303?lipi=urn%3Ali%3Apage%3Ad_flagship3_profile_view_base_contact_details%3B4RNScX4WSAaHvI3EBDmBCg%3D%3D</v>
      </c>
      <c r="I147" s="1"/>
      <c r="J147" s="1"/>
      <c r="K147" s="1" t="str">
        <f ca="1">IFERROR(__xludf.DUMMYFUNCTION("""COMPUTED_VALUE"""),"Mansoura University")</f>
        <v>Mansoura University</v>
      </c>
      <c r="L147" s="1"/>
      <c r="M147" s="1" t="str">
        <f ca="1">IFERROR(__xludf.DUMMYFUNCTION("""COMPUTED_VALUE"""),"Faculty of Engineering")</f>
        <v>Faculty of Engineering</v>
      </c>
      <c r="N147" s="1"/>
      <c r="O147" s="1" t="str">
        <f ca="1">IFERROR(__xludf.DUMMYFUNCTION("""COMPUTED_VALUE"""),"2nd Year")</f>
        <v>2nd Year</v>
      </c>
      <c r="R147" s="1" t="s">
        <v>37</v>
      </c>
    </row>
    <row r="148" spans="1:18">
      <c r="A148" s="1" t="str">
        <f ca="1">IFERROR(__xludf.DUMMYFUNCTION("""COMPUTED_VALUE"""),"Omar")</f>
        <v>Omar</v>
      </c>
      <c r="B148" s="1" t="str">
        <f ca="1">IFERROR(__xludf.DUMMYFUNCTION("""COMPUTED_VALUE"""),"omareldeeb365@gmail.com")</f>
        <v>omareldeeb365@gmail.com</v>
      </c>
      <c r="C148" s="1">
        <f ca="1">IFERROR(__xludf.DUMMYFUNCTION("""COMPUTED_VALUE"""),201033578974)</f>
        <v>201033578974</v>
      </c>
      <c r="D148" s="1" t="str">
        <f ca="1">IFERROR(__xludf.DUMMYFUNCTION("""COMPUTED_VALUE"""),"Talkha")</f>
        <v>Talkha</v>
      </c>
      <c r="E148" s="12" t="str">
        <f ca="1">IFERROR(__xludf.DUMMYFUNCTION("""COMPUTED_VALUE"""),"https://www.facebook.com/share/185b1LVCYu/")</f>
        <v>https://www.facebook.com/share/185b1LVCYu/</v>
      </c>
      <c r="F148" s="1" t="str">
        <f ca="1">IFERROR(__xludf.DUMMYFUNCTION("""COMPUTED_VALUE"""),"ID :1149758050593427456")</f>
        <v>ID :1149758050593427456</v>
      </c>
      <c r="G148" s="1"/>
      <c r="H148" s="12" t="str">
        <f ca="1">IFERROR(__xludf.DUMMYFUNCTION("""COMPUTED_VALUE"""),"https://www.linkedin.com/in/omar-el-deeb-728b5525b?utm_source=share&amp;utm_campaign=share_via&amp;utm_content=profile&amp;utm_medium=android_app")</f>
        <v>https://www.linkedin.com/in/omar-el-deeb-728b5525b?utm_source=share&amp;utm_campaign=share_via&amp;utm_content=profile&amp;utm_medium=android_app</v>
      </c>
      <c r="I148" s="1"/>
      <c r="J148" s="1"/>
      <c r="K148" s="1" t="str">
        <f ca="1">IFERROR(__xludf.DUMMYFUNCTION("""COMPUTED_VALUE"""),"Mansoura University")</f>
        <v>Mansoura University</v>
      </c>
      <c r="L148" s="1"/>
      <c r="M148" s="1" t="str">
        <f ca="1">IFERROR(__xludf.DUMMYFUNCTION("""COMPUTED_VALUE"""),"Faculty of Engineering")</f>
        <v>Faculty of Engineering</v>
      </c>
      <c r="N148" s="1"/>
      <c r="O148" s="1" t="str">
        <f ca="1">IFERROR(__xludf.DUMMYFUNCTION("""COMPUTED_VALUE"""),"2nd Year")</f>
        <v>2nd Year</v>
      </c>
      <c r="R148" s="1" t="s">
        <v>36</v>
      </c>
    </row>
    <row r="149" spans="1:18">
      <c r="A149" s="1" t="str">
        <f ca="1">IFERROR(__xludf.DUMMYFUNCTION("""COMPUTED_VALUE"""),"Menna Abdou Hashem")</f>
        <v>Menna Abdou Hashem</v>
      </c>
      <c r="B149" s="1" t="str">
        <f ca="1">IFERROR(__xludf.DUMMYFUNCTION("""COMPUTED_VALUE"""),"hashemmenna829@gmail.com")</f>
        <v>hashemmenna829@gmail.com</v>
      </c>
      <c r="C149" s="1">
        <f ca="1">IFERROR(__xludf.DUMMYFUNCTION("""COMPUTED_VALUE"""),201273746868)</f>
        <v>201273746868</v>
      </c>
      <c r="D149" s="1" t="str">
        <f ca="1">IFERROR(__xludf.DUMMYFUNCTION("""COMPUTED_VALUE"""),"Elmansoura")</f>
        <v>Elmansoura</v>
      </c>
      <c r="E149" s="12" t="str">
        <f ca="1">IFERROR(__xludf.DUMMYFUNCTION("""COMPUTED_VALUE"""),"https://www.facebook.com/profile.php?id=100005953952695")</f>
        <v>https://www.facebook.com/profile.php?id=100005953952695</v>
      </c>
      <c r="F149" s="12" t="str">
        <f ca="1">IFERROR(__xludf.DUMMYFUNCTION("""COMPUTED_VALUE"""),"https://discord.gg/rt2n5swV")</f>
        <v>https://discord.gg/rt2n5swV</v>
      </c>
      <c r="G149" s="12" t="str">
        <f ca="1">IFERROR(__xludf.DUMMYFUNCTION("""COMPUTED_VALUE"""),"https://x.com/abdou_menn70310?t=DD8F3iZIt1c1dhadeGIsGw&amp;s=09")</f>
        <v>https://x.com/abdou_menn70310?t=DD8F3iZIt1c1dhadeGIsGw&amp;s=09</v>
      </c>
      <c r="H149" s="12" t="str">
        <f ca="1">IFERROR(__xludf.DUMMYFUNCTION("""COMPUTED_VALUE"""),"https://www.linkedin.com/in/menna-abdou-7a2254339?utm_source=share&amp;utm_campaign=share_via&amp;utm_content=profile&amp;utm_medium=android_app")</f>
        <v>https://www.linkedin.com/in/menna-abdou-7a2254339?utm_source=share&amp;utm_campaign=share_via&amp;utm_content=profile&amp;utm_medium=android_app</v>
      </c>
      <c r="I149" s="12" t="str">
        <f ca="1">IFERROR(__xludf.DUMMYFUNCTION("""COMPUTED_VALUE"""),"https://www.linkedin.com/in/menna-abdou-7a2254339?utm_source=share&amp;utm_campaign=share_via&amp;utm_content=profile&amp;utm_medium=android_app")</f>
        <v>https://www.linkedin.com/in/menna-abdou-7a2254339?utm_source=share&amp;utm_campaign=share_via&amp;utm_content=profile&amp;utm_medium=android_app</v>
      </c>
      <c r="J149" s="12" t="str">
        <f ca="1">IFERROR(__xludf.DUMMYFUNCTION("""COMPUTED_VALUE"""),"https://x.com/abdou_menn70310?t=DD8F3iZIt1c1dhadeGIsGw&amp;s=09")</f>
        <v>https://x.com/abdou_menn70310?t=DD8F3iZIt1c1dhadeGIsGw&amp;s=09</v>
      </c>
      <c r="K149" s="1" t="str">
        <f ca="1">IFERROR(__xludf.DUMMYFUNCTION("""COMPUTED_VALUE"""),"Mansoura University")</f>
        <v>Mansoura University</v>
      </c>
      <c r="L149" s="1"/>
      <c r="M149" s="1" t="str">
        <f ca="1">IFERROR(__xludf.DUMMYFUNCTION("""COMPUTED_VALUE"""),"Faculty of Science")</f>
        <v>Faculty of Science</v>
      </c>
      <c r="N149" s="1"/>
      <c r="O149" s="1" t="str">
        <f ca="1">IFERROR(__xludf.DUMMYFUNCTION("""COMPUTED_VALUE"""),"1st Year")</f>
        <v>1st Year</v>
      </c>
      <c r="R149" s="1" t="s">
        <v>296</v>
      </c>
    </row>
    <row r="150" spans="1:18">
      <c r="A150" s="1" t="str">
        <f ca="1">IFERROR(__xludf.DUMMYFUNCTION("""COMPUTED_VALUE"""),"Mariam Taha El-saed El-Ahwal")</f>
        <v>Mariam Taha El-saed El-Ahwal</v>
      </c>
      <c r="B150" s="1" t="str">
        <f ca="1">IFERROR(__xludf.DUMMYFUNCTION("""COMPUTED_VALUE"""),"marimtaha422@gmail.com")</f>
        <v>marimtaha422@gmail.com</v>
      </c>
      <c r="C150" s="1">
        <f ca="1">IFERROR(__xludf.DUMMYFUNCTION("""COMPUTED_VALUE"""),201060386917)</f>
        <v>201060386917</v>
      </c>
      <c r="D150" s="1" t="str">
        <f ca="1">IFERROR(__xludf.DUMMYFUNCTION("""COMPUTED_VALUE"""),"El-mahala kobra")</f>
        <v>El-mahala kobra</v>
      </c>
      <c r="E150" s="12" t="str">
        <f ca="1">IFERROR(__xludf.DUMMYFUNCTION("""COMPUTED_VALUE"""),"https://www.facebook.com/mariam.taha.1217?mibextid=ZbWKwL")</f>
        <v>https://www.facebook.com/mariam.taha.1217?mibextid=ZbWKwL</v>
      </c>
      <c r="F150" s="1" t="str">
        <f ca="1">IFERROR(__xludf.DUMMYFUNCTION("""COMPUTED_VALUE"""),"Mariam_859046")</f>
        <v>Mariam_859046</v>
      </c>
      <c r="G150" s="12" t="str">
        <f ca="1">IFERROR(__xludf.DUMMYFUNCTION("""COMPUTED_VALUE"""),"https://x.com/MarimTa21648756?t=Iuk8yXHcVfm9BpffgpQpug&amp;s=08")</f>
        <v>https://x.com/MarimTa21648756?t=Iuk8yXHcVfm9BpffgpQpug&amp;s=08</v>
      </c>
      <c r="H150" s="12" t="str">
        <f ca="1">IFERROR(__xludf.DUMMYFUNCTION("""COMPUTED_VALUE"""),"https://www.linkedin.com/in/mariam-taha-72a047294?utm_source=share&amp;utm_campaign=share_via&amp;utm_content=profile&amp;utm_medium=android_app")</f>
        <v>https://www.linkedin.com/in/mariam-taha-72a047294?utm_source=share&amp;utm_campaign=share_via&amp;utm_content=profile&amp;utm_medium=android_app</v>
      </c>
      <c r="I150" s="12" t="str">
        <f ca="1">IFERROR(__xludf.DUMMYFUNCTION("""COMPUTED_VALUE"""),"https://github.com/kamranahmedse/developer-roadmap?tab=readme-ov-file")</f>
        <v>https://github.com/kamranahmedse/developer-roadmap?tab=readme-ov-file</v>
      </c>
      <c r="J150" s="1"/>
      <c r="K150" s="1" t="str">
        <f ca="1">IFERROR(__xludf.DUMMYFUNCTION("""COMPUTED_VALUE"""),"Delta University")</f>
        <v>Delta University</v>
      </c>
      <c r="L150" s="1"/>
      <c r="M150" s="1" t="str">
        <f ca="1">IFERROR(__xludf.DUMMYFUNCTION("""COMPUTED_VALUE"""),"Faculty of Computer &amp; Information Science")</f>
        <v>Faculty of Computer &amp; Information Science</v>
      </c>
      <c r="N150" s="1"/>
      <c r="O150" s="1" t="str">
        <f ca="1">IFERROR(__xludf.DUMMYFUNCTION("""COMPUTED_VALUE"""),"3rd Year")</f>
        <v>3rd Year</v>
      </c>
      <c r="R150" s="1" t="s">
        <v>297</v>
      </c>
    </row>
    <row r="151" spans="1:18">
      <c r="A151" s="1" t="str">
        <f ca="1">IFERROR(__xludf.DUMMYFUNCTION("""COMPUTED_VALUE"""),"Mariam Yehia")</f>
        <v>Mariam Yehia</v>
      </c>
      <c r="B151" s="1" t="str">
        <f ca="1">IFERROR(__xludf.DUMMYFUNCTION("""COMPUTED_VALUE"""),"mariamyehiah456@gmail.com")</f>
        <v>mariamyehiah456@gmail.com</v>
      </c>
      <c r="C151" s="1">
        <f ca="1">IFERROR(__xludf.DUMMYFUNCTION("""COMPUTED_VALUE"""),201097295941)</f>
        <v>201097295941</v>
      </c>
      <c r="D151" s="1" t="str">
        <f ca="1">IFERROR(__xludf.DUMMYFUNCTION("""COMPUTED_VALUE"""),"el mansora")</f>
        <v>el mansora</v>
      </c>
      <c r="E151" s="12" t="str">
        <f ca="1">IFERROR(__xludf.DUMMYFUNCTION("""COMPUTED_VALUE"""),"https://www.facebook.com/mariam.yehia.50115/?locale=ar_AR")</f>
        <v>https://www.facebook.com/mariam.yehia.50115/?locale=ar_AR</v>
      </c>
      <c r="F151" s="1" t="str">
        <f ca="1">IFERROR(__xludf.DUMMYFUNCTION("""COMPUTED_VALUE"""),"mariamy6226")</f>
        <v>mariamy6226</v>
      </c>
      <c r="G151" s="1"/>
      <c r="H151" s="12" t="str">
        <f ca="1">IFERROR(__xludf.DUMMYFUNCTION("""COMPUTED_VALUE"""),"https://www.linkedin.com/in/mariam-yehia-37279b27a?utm_source=share&amp;utm_campaign=share_via&amp;utm_content=profile&amp;utm_medium=ios_app")</f>
        <v>https://www.linkedin.com/in/mariam-yehia-37279b27a?utm_source=share&amp;utm_campaign=share_via&amp;utm_content=profile&amp;utm_medium=ios_app</v>
      </c>
      <c r="I151" s="1"/>
      <c r="J151" s="1"/>
      <c r="K151" s="1" t="str">
        <f ca="1">IFERROR(__xludf.DUMMYFUNCTION("""COMPUTED_VALUE"""),"Mansoura University")</f>
        <v>Mansoura University</v>
      </c>
      <c r="L151" s="1"/>
      <c r="M151" s="1" t="str">
        <f ca="1">IFERROR(__xludf.DUMMYFUNCTION("""COMPUTED_VALUE"""),"Faculty of Computer &amp; Information Science")</f>
        <v>Faculty of Computer &amp; Information Science</v>
      </c>
      <c r="N151" s="1"/>
      <c r="O151" s="1" t="str">
        <f ca="1">IFERROR(__xludf.DUMMYFUNCTION("""COMPUTED_VALUE"""),"1st Year")</f>
        <v>1st Year</v>
      </c>
      <c r="R151" s="1" t="s">
        <v>298</v>
      </c>
    </row>
    <row r="152" spans="1:18">
      <c r="A152" s="1" t="str">
        <f ca="1">IFERROR(__xludf.DUMMYFUNCTION("""COMPUTED_VALUE"""),"Mohamed Abdelghany Elsherif")</f>
        <v>Mohamed Abdelghany Elsherif</v>
      </c>
      <c r="B152" s="1" t="str">
        <f ca="1">IFERROR(__xludf.DUMMYFUNCTION("""COMPUTED_VALUE"""),"mohamedabdelghany856@gmail.com")</f>
        <v>mohamedabdelghany856@gmail.com</v>
      </c>
      <c r="C152" s="1">
        <f ca="1">IFERROR(__xludf.DUMMYFUNCTION("""COMPUTED_VALUE"""),201019945793)</f>
        <v>201019945793</v>
      </c>
      <c r="D152" s="1" t="str">
        <f ca="1">IFERROR(__xludf.DUMMYFUNCTION("""COMPUTED_VALUE"""),"Mansoura")</f>
        <v>Mansoura</v>
      </c>
      <c r="E152" s="12" t="str">
        <f ca="1">IFERROR(__xludf.DUMMYFUNCTION("""COMPUTED_VALUE"""),"https://www.facebook.com/mohamed.abdelghany.18294053?mibextid=LQQJ4d")</f>
        <v>https://www.facebook.com/mohamed.abdelghany.18294053?mibextid=LQQJ4d</v>
      </c>
      <c r="F152" s="1" t="str">
        <f ca="1">IFERROR(__xludf.DUMMYFUNCTION("""COMPUTED_VALUE"""),"mohamedabdelghany26")</f>
        <v>mohamedabdelghany26</v>
      </c>
      <c r="G152" s="1"/>
      <c r="H152" s="12" t="str">
        <f ca="1">IFERROR(__xludf.DUMMYFUNCTION("""COMPUTED_VALUE"""),"https://www.linkedin.com/in/mhamed-abdelghany")</f>
        <v>https://www.linkedin.com/in/mhamed-abdelghany</v>
      </c>
      <c r="I152" s="1"/>
      <c r="J152" s="1"/>
      <c r="K152" s="1" t="str">
        <f ca="1">IFERROR(__xludf.DUMMYFUNCTION("""COMPUTED_VALUE"""),"Mansoura University")</f>
        <v>Mansoura University</v>
      </c>
      <c r="L152" s="1"/>
      <c r="M152" s="1" t="str">
        <f ca="1">IFERROR(__xludf.DUMMYFUNCTION("""COMPUTED_VALUE"""),"Faculty of Science")</f>
        <v>Faculty of Science</v>
      </c>
      <c r="N152" s="1"/>
      <c r="O152" s="1" t="str">
        <f ca="1">IFERROR(__xludf.DUMMYFUNCTION("""COMPUTED_VALUE"""),"2nd Year")</f>
        <v>2nd Year</v>
      </c>
      <c r="R152" s="1" t="s">
        <v>299</v>
      </c>
    </row>
    <row r="153" spans="1:18">
      <c r="A153" s="1" t="str">
        <f ca="1">IFERROR(__xludf.DUMMYFUNCTION("""COMPUTED_VALUE"""),"Rawan sameh elshenawy")</f>
        <v>Rawan sameh elshenawy</v>
      </c>
      <c r="B153" s="1" t="str">
        <f ca="1">IFERROR(__xludf.DUMMYFUNCTION("""COMPUTED_VALUE"""),"rawanelshenawyy22@gmail.com")</f>
        <v>rawanelshenawyy22@gmail.com</v>
      </c>
      <c r="C153" s="1">
        <f ca="1">IFERROR(__xludf.DUMMYFUNCTION("""COMPUTED_VALUE"""),201009100359)</f>
        <v>201009100359</v>
      </c>
      <c r="D153" s="1" t="str">
        <f ca="1">IFERROR(__xludf.DUMMYFUNCTION("""COMPUTED_VALUE"""),"Sherbin")</f>
        <v>Sherbin</v>
      </c>
      <c r="E153" s="12" t="str">
        <f ca="1">IFERROR(__xludf.DUMMYFUNCTION("""COMPUTED_VALUE"""),"https://www.facebook.com/rawan.sameh.39?mibextid=LQQJ4d")</f>
        <v>https://www.facebook.com/rawan.sameh.39?mibextid=LQQJ4d</v>
      </c>
      <c r="F153" s="12" t="str">
        <f ca="1">IFERROR(__xludf.DUMMYFUNCTION("""COMPUTED_VALUE"""),"https://discord.com/users/rawan#027619")</f>
        <v>https://discord.com/users/rawan#027619</v>
      </c>
      <c r="G153" s="1"/>
      <c r="H153" s="12" t="str">
        <f ca="1">IFERROR(__xludf.DUMMYFUNCTION("""COMPUTED_VALUE"""),"https://www.linkedin.com/in/rawan-elshenawyy-046473339?trk=contact-info")</f>
        <v>https://www.linkedin.com/in/rawan-elshenawyy-046473339?trk=contact-info</v>
      </c>
      <c r="I153" s="12" t="str">
        <f ca="1">IFERROR(__xludf.DUMMYFUNCTION("""COMPUTED_VALUE"""),"https://github.com/Rawanelshenawy22")</f>
        <v>https://github.com/Rawanelshenawy22</v>
      </c>
      <c r="J153" s="1"/>
      <c r="K153" s="1" t="str">
        <f ca="1">IFERROR(__xludf.DUMMYFUNCTION("""COMPUTED_VALUE"""),"Mansoura University")</f>
        <v>Mansoura University</v>
      </c>
      <c r="L153" s="1"/>
      <c r="M153" s="1" t="str">
        <f ca="1">IFERROR(__xludf.DUMMYFUNCTION("""COMPUTED_VALUE"""),"Faculty of Computer &amp; Information Science")</f>
        <v>Faculty of Computer &amp; Information Science</v>
      </c>
      <c r="N153" s="1"/>
      <c r="O153" s="1" t="str">
        <f ca="1">IFERROR(__xludf.DUMMYFUNCTION("""COMPUTED_VALUE"""),"3rd Year")</f>
        <v>3rd Year</v>
      </c>
      <c r="R153" s="1" t="s">
        <v>53</v>
      </c>
    </row>
    <row r="154" spans="1:18">
      <c r="A154" s="1" t="str">
        <f ca="1">IFERROR(__xludf.DUMMYFUNCTION("""COMPUTED_VALUE"""),"Abdelrahman")</f>
        <v>Abdelrahman</v>
      </c>
      <c r="B154" s="1" t="str">
        <f ca="1">IFERROR(__xludf.DUMMYFUNCTION("""COMPUTED_VALUE"""),"triza1923@gmail.com")</f>
        <v>triza1923@gmail.com</v>
      </c>
      <c r="C154" s="1">
        <f ca="1">IFERROR(__xludf.DUMMYFUNCTION("""COMPUTED_VALUE"""),201099942813)</f>
        <v>201099942813</v>
      </c>
      <c r="D154" s="1" t="str">
        <f ca="1">IFERROR(__xludf.DUMMYFUNCTION("""COMPUTED_VALUE"""),"Mansoura University housing")</f>
        <v>Mansoura University housing</v>
      </c>
      <c r="E154" s="12" t="str">
        <f ca="1">IFERROR(__xludf.DUMMYFUNCTION("""COMPUTED_VALUE"""),"http://skwjd.com")</f>
        <v>http://skwjd.com</v>
      </c>
      <c r="F154" s="12" t="str">
        <f ca="1">IFERROR(__xludf.DUMMYFUNCTION("""COMPUTED_VALUE"""),"http://skwjd.com")</f>
        <v>http://skwjd.com</v>
      </c>
      <c r="G154" s="12" t="str">
        <f ca="1">IFERROR(__xludf.DUMMYFUNCTION("""COMPUTED_VALUE"""),"http://skwjd.com")</f>
        <v>http://skwjd.com</v>
      </c>
      <c r="H154" s="12" t="str">
        <f ca="1">IFERROR(__xludf.DUMMYFUNCTION("""COMPUTED_VALUE"""),"http://skwjd.com")</f>
        <v>http://skwjd.com</v>
      </c>
      <c r="I154" s="1"/>
      <c r="J154" s="1"/>
      <c r="K154" s="1" t="str">
        <f ca="1">IFERROR(__xludf.DUMMYFUNCTION("""COMPUTED_VALUE"""),"Mansoura University")</f>
        <v>Mansoura University</v>
      </c>
      <c r="L154" s="1"/>
      <c r="M154" s="1" t="str">
        <f ca="1">IFERROR(__xludf.DUMMYFUNCTION("""COMPUTED_VALUE"""),"Faculty of Computer &amp; Information Science")</f>
        <v>Faculty of Computer &amp; Information Science</v>
      </c>
      <c r="N154" s="1"/>
      <c r="O154" s="1" t="str">
        <f ca="1">IFERROR(__xludf.DUMMYFUNCTION("""COMPUTED_VALUE"""),"1st Year")</f>
        <v>1st Year</v>
      </c>
      <c r="R154" s="1" t="s">
        <v>300</v>
      </c>
    </row>
    <row r="155" spans="1:18">
      <c r="A155" s="1" t="str">
        <f ca="1">IFERROR(__xludf.DUMMYFUNCTION("""COMPUTED_VALUE"""),"Salma Yasser")</f>
        <v>Salma Yasser</v>
      </c>
      <c r="B155" s="1" t="str">
        <f ca="1">IFERROR(__xludf.DUMMYFUNCTION("""COMPUTED_VALUE"""),"salmayasser1611@gmail.com")</f>
        <v>salmayasser1611@gmail.com</v>
      </c>
      <c r="C155" s="1">
        <f ca="1">IFERROR(__xludf.DUMMYFUNCTION("""COMPUTED_VALUE"""),201019330119)</f>
        <v>201019330119</v>
      </c>
      <c r="D155" s="1" t="str">
        <f ca="1">IFERROR(__xludf.DUMMYFUNCTION("""COMPUTED_VALUE"""),"Mansoura")</f>
        <v>Mansoura</v>
      </c>
      <c r="E155" s="12" t="str">
        <f ca="1">IFERROR(__xludf.DUMMYFUNCTION("""COMPUTED_VALUE"""),"https://www.facebook.com/salmayasser1611?mibextid=ZbWKwL")</f>
        <v>https://www.facebook.com/salmayasser1611?mibextid=ZbWKwL</v>
      </c>
      <c r="F155" s="12" t="str">
        <f ca="1">IFERROR(__xludf.DUMMYFUNCTION("""COMPUTED_VALUE"""),"https://discord.gg/NRDTphvj")</f>
        <v>https://discord.gg/NRDTphvj</v>
      </c>
      <c r="G155" s="1"/>
      <c r="H155" s="12" t="str">
        <f ca="1">IFERROR(__xludf.DUMMYFUNCTION("""COMPUTED_VALUE"""),"https://www.linkedin.com/in/salma-yasser-276a56246?utm_source=share&amp;utm_campaign=share_via&amp;utm_content=profile&amp;utm_medium=android_app")</f>
        <v>https://www.linkedin.com/in/salma-yasser-276a56246?utm_source=share&amp;utm_campaign=share_via&amp;utm_content=profile&amp;utm_medium=android_app</v>
      </c>
      <c r="I155" s="1"/>
      <c r="J155" s="1"/>
      <c r="K155" s="1" t="str">
        <f ca="1">IFERROR(__xludf.DUMMYFUNCTION("""COMPUTED_VALUE"""),"Mansoura University")</f>
        <v>Mansoura University</v>
      </c>
      <c r="L155" s="1"/>
      <c r="M155" s="1" t="str">
        <f ca="1">IFERROR(__xludf.DUMMYFUNCTION("""COMPUTED_VALUE"""),"Faculty of Computer &amp; Information Science")</f>
        <v>Faculty of Computer &amp; Information Science</v>
      </c>
      <c r="N155" s="1"/>
      <c r="O155" s="1" t="str">
        <f ca="1">IFERROR(__xludf.DUMMYFUNCTION("""COMPUTED_VALUE"""),"1st Year")</f>
        <v>1st Year</v>
      </c>
      <c r="R155" s="1" t="s">
        <v>301</v>
      </c>
    </row>
    <row r="156" spans="1:18">
      <c r="A156" s="1" t="str">
        <f ca="1">IFERROR(__xludf.DUMMYFUNCTION("""COMPUTED_VALUE"""),"Khaled Eldeep")</f>
        <v>Khaled Eldeep</v>
      </c>
      <c r="B156" s="1" t="str">
        <f ca="1">IFERROR(__xludf.DUMMYFUNCTION("""COMPUTED_VALUE"""),"khaled0elsayed1@gmail.com")</f>
        <v>khaled0elsayed1@gmail.com</v>
      </c>
      <c r="C156" s="1">
        <f ca="1">IFERROR(__xludf.DUMMYFUNCTION("""COMPUTED_VALUE"""),201030734594)</f>
        <v>201030734594</v>
      </c>
      <c r="D156" s="1" t="str">
        <f ca="1">IFERROR(__xludf.DUMMYFUNCTION("""COMPUTED_VALUE"""),"Mansoura ")</f>
        <v xml:space="preserve">Mansoura </v>
      </c>
      <c r="E156" s="12" t="str">
        <f ca="1">IFERROR(__xludf.DUMMYFUNCTION("""COMPUTED_VALUE"""),"https://www.facebook.com/share/fqyKVKotQPWbwXua/?mibextid=LQQJ4d")</f>
        <v>https://www.facebook.com/share/fqyKVKotQPWbwXua/?mibextid=LQQJ4d</v>
      </c>
      <c r="F156" s="12" t="str">
        <f ca="1">IFERROR(__xludf.DUMMYFUNCTION("""COMPUTED_VALUE"""),"https://discord.gg/TNg9f7ZA")</f>
        <v>https://discord.gg/TNg9f7ZA</v>
      </c>
      <c r="G156" s="12" t="str">
        <f ca="1">IFERROR(__xludf.DUMMYFUNCTION("""COMPUTED_VALUE"""),"https://x.com/engeldeep1?s=21")</f>
        <v>https://x.com/engeldeep1?s=21</v>
      </c>
      <c r="H156" s="12" t="str">
        <f ca="1">IFERROR(__xludf.DUMMYFUNCTION("""COMPUTED_VALUE"""),"https://www.linkedin.com/in/khaled-eldeep-b50a9230a?utm_source=share&amp;utm_campaign=share_via&amp;utm_content=profile&amp;utm_medium=ios_app")</f>
        <v>https://www.linkedin.com/in/khaled-eldeep-b50a9230a?utm_source=share&amp;utm_campaign=share_via&amp;utm_content=profile&amp;utm_medium=ios_app</v>
      </c>
      <c r="I156" s="12" t="str">
        <f ca="1">IFERROR(__xludf.DUMMYFUNCTION("""COMPUTED_VALUE"""),"https://github.com/khaledeldeep99?tab=repositories")</f>
        <v>https://github.com/khaledeldeep99?tab=repositories</v>
      </c>
      <c r="J156" s="1" t="str">
        <f ca="1">IFERROR(__xludf.DUMMYFUNCTION("""COMPUTED_VALUE"""),"https://www.behance.net/onboarding?isa0=1#old_hash=&amp;from_ims=true&amp;client_id=BehanceWebSusi1&amp;api=authorize&amp;scope=AdobeID,openid,gnav,sao.cce_private,creative_cloud,creative_sdk,be.pro2.external_client,additional_info.roles%23access_token=eyJhbGciOiJSUzI1Ni"&amp;"IsIng1dSI6Imltc19uYTEta2V5LWF0LTEuY2VyIiwia2lkIjoiaW1zX25hMS1rZXktYXQtMSIsIml0dCI6ImF0In0.eyJpZCI6IjE3MzE4NzIyMDM4ODFfMDYyMjMzZWYtZjk5Zi00NjQxLWJkYzItYzJjZTgyODgxYWI5X3ZhNmMyIiwidHlwZSI6ImFjY2Vzc190b2tlbiIsImNsaWVudF9pZCI6IkJlaGFuY2VXZWJTdXNpMSIsInVzZXJfa"&amp;"WQiOiJDMTM1Mjk4QzYzRjNFNEJGMEE0OTVFOTdAQWRvYmVJRCIsInN0YXRlIjoie1wiYWNcIjpcImJlaGFuY2UubmV0XCIsXCJjb250ZXh0XCI6e1wiaW50ZW50XCI6XCJzaWduSW5cIn0sXCJqc2xpYnZlclwiOlwidjItdjAuNDUuMC04LWdkMTRlNjU0XCIsXCJub25jZVwiOlwiMTE5NDI1ODU5MTM3MzE0N1wifSIsImFzIjoiaW1zLW5h"&amp;"MSIsImFhX2lkIjoiQzEzNTI5OEM2M0YzRTRCRjBBNDk1RTk3QEFkb2JlSUQiLCJjdHAiOjAsImZnIjoiWTZYUFJWR1JWUFA1NEhVS0hNUVZZSEFBWEk9PT09PT0iLCJzaWQiOiIxNzMxODcyMjAzODc1XzVlYmRhMDQxLTIxMzItNDFjOS1iYTdmLTlkMmFlNDc4NzZmNV92YTZjMiIsIm1vaSI6ImJjMDU3MzExIiwicGJhIjoiTWVkU2VjTm9"&amp;"FVixMb3dTZWMiLCJleHBpcmVzX2luIjoiODY0MDAwMDAiLCJzY29wZSI6IkFkb2JlSUQsb3BlbmlkLGduYXYsc2FvLmNjZV9wcml2YXRlLGNyZWF0aXZlX2Nsb3VkLGNyZWF0aXZlX3NkayxiZS5wcm8yLmV4dGVybmFsX2NsaWVudCxhZGRpdGlvbmFsX2luZm8ucm9sZXMiLCJjcmVhdGVkX2F0IjoiMTczMTg3MjIwMzg4MSJ9.hKwN8rUGG"&amp;"iViT2Tdi3KElCHYbTILzfAUFaTDMlePesK8DXgjk15qCSHSMCEwfNqGRIo8z3c4PxCgP84GakiJwVEaiVCL3anaW-yEAlMyjHdyKtA8FlaK3WAewsHv5jTDeUGVEeCeAvbzOpPvzRxSWEDAQ6XiXtfhr2QDRqdv3Az2IbFDV9-n3juwn_wUp4T7RDRe1OwvKy3IUSuCx82Odj7VA8-WjaH8KMWUYPg4nnAv89UwGJg1sfbN5lCQdVRKWQHAMUnB"&amp;"Oga8tQW7oaaNRhe9GpCdnpX4iBpt0MRExar8pTYSSkU_0PpSJsyA5DU6NuwVfSiu_qBP4xzZbGeBCg&amp;state=%7B%22ac%22%3A%22behance.net%22%2C%22context%22%3A%7B%22intent%22%3A%22signIn%22%7D%2C%22jslibver%22%3A%22v2-v0.45.0-8-gd14e654%22%2C%22nonce%22%3A%221194258591373147%22%"&amp;"7D&amp;token_type=bearer&amp;expires_in=86399996")</f>
        <v>https://www.behance.net/onboarding?isa0=1#old_hash=&amp;from_ims=true&amp;client_id=BehanceWebSusi1&amp;api=authorize&amp;scope=AdobeID,openid,gnav,sao.cce_private,creative_cloud,creative_sdk,be.pro2.external_client,additional_info.roles%23access_token=eyJhbGciOiJSUzI1NiIsIng1dSI6Imltc19uYTEta2V5LWF0LTEuY2VyIiwia2lkIjoiaW1zX25hMS1rZXktYXQtMSIsIml0dCI6ImF0In0.eyJpZCI6IjE3MzE4NzIyMDM4ODFfMDYyMjMzZWYtZjk5Zi00NjQxLWJkYzItYzJjZTgyODgxYWI5X3ZhNmMyIiwidHlwZSI6ImFjY2Vzc190b2tlbiIsImNsaWVudF9pZCI6IkJlaGFuY2VXZWJTdXNpMSIsInVzZXJfaWQiOiJDMTM1Mjk4QzYzRjNFNEJGMEE0OTVFOTdAQWRvYmVJRCIsInN0YXRlIjoie1wiYWNcIjpcImJlaGFuY2UubmV0XCIsXCJjb250ZXh0XCI6e1wiaW50ZW50XCI6XCJzaWduSW5cIn0sXCJqc2xpYnZlclwiOlwidjItdjAuNDUuMC04LWdkMTRlNjU0XCIsXCJub25jZVwiOlwiMTE5NDI1ODU5MTM3MzE0N1wifSIsImFzIjoiaW1zLW5hMSIsImFhX2lkIjoiQzEzNTI5OEM2M0YzRTRCRjBBNDk1RTk3QEFkb2JlSUQiLCJjdHAiOjAsImZnIjoiWTZYUFJWR1JWUFA1NEhVS0hNUVZZSEFBWEk9PT09PT0iLCJzaWQiOiIxNzMxODcyMjAzODc1XzVlYmRhMDQxLTIxMzItNDFjOS1iYTdmLTlkMmFlNDc4NzZmNV92YTZjMiIsIm1vaSI6ImJjMDU3MzExIiwicGJhIjoiTWVkU2VjTm9FVixMb3dTZWMiLCJleHBpcmVzX2luIjoiODY0MDAwMDAiLCJzY29wZSI6IkFkb2JlSUQsb3BlbmlkLGduYXYsc2FvLmNjZV9wcml2YXRlLGNyZWF0aXZlX2Nsb3VkLGNyZWF0aXZlX3NkayxiZS5wcm8yLmV4dGVybmFsX2NsaWVudCxhZGRpdGlvbmFsX2luZm8ucm9sZXMiLCJjcmVhdGVkX2F0IjoiMTczMTg3MjIwMzg4MSJ9.hKwN8rUGGiViT2Tdi3KElCHYbTILzfAUFaTDMlePesK8DXgjk15qCSHSMCEwfNqGRIo8z3c4PxCgP84GakiJwVEaiVCL3anaW-yEAlMyjHdyKtA8FlaK3WAewsHv5jTDeUGVEeCeAvbzOpPvzRxSWEDAQ6XiXtfhr2QDRqdv3Az2IbFDV9-n3juwn_wUp4T7RDRe1OwvKy3IUSuCx82Odj7VA8-WjaH8KMWUYPg4nnAv89UwGJg1sfbN5lCQdVRKWQHAMUnBOga8tQW7oaaNRhe9GpCdnpX4iBpt0MRExar8pTYSSkU_0PpSJsyA5DU6NuwVfSiu_qBP4xzZbGeBCg&amp;state=%7B%22ac%22%3A%22behance.net%22%2C%22context%22%3A%7B%22intent%22%3A%22signIn%22%7D%2C%22jslibver%22%3A%22v2-v0.45.0-8-gd14e654%22%2C%22nonce%22%3A%221194258591373147%22%7D&amp;token_type=bearer&amp;expires_in=86399996</v>
      </c>
      <c r="K156" s="1" t="str">
        <f ca="1">IFERROR(__xludf.DUMMYFUNCTION("""COMPUTED_VALUE"""),"Mansoura University")</f>
        <v>Mansoura University</v>
      </c>
      <c r="L156" s="1"/>
      <c r="M156" s="1" t="str">
        <f ca="1">IFERROR(__xludf.DUMMYFUNCTION("""COMPUTED_VALUE"""),"Faculty of Computer &amp; Information Science")</f>
        <v>Faculty of Computer &amp; Information Science</v>
      </c>
      <c r="N156" s="1"/>
      <c r="O156" s="1" t="str">
        <f ca="1">IFERROR(__xludf.DUMMYFUNCTION("""COMPUTED_VALUE"""),"3rd Year")</f>
        <v>3rd Year</v>
      </c>
      <c r="R156" s="1" t="s">
        <v>302</v>
      </c>
    </row>
    <row r="157" spans="1:18">
      <c r="A157" s="1" t="str">
        <f ca="1">IFERROR(__xludf.DUMMYFUNCTION("""COMPUTED_VALUE"""),"Hosam Elsayed Elsaied Abdelaziz")</f>
        <v>Hosam Elsayed Elsaied Abdelaziz</v>
      </c>
      <c r="B157" s="1" t="str">
        <f ca="1">IFERROR(__xludf.DUMMYFUNCTION("""COMPUTED_VALUE"""),"hosamelsayed334@gmail.com")</f>
        <v>hosamelsayed334@gmail.com</v>
      </c>
      <c r="C157" s="1">
        <f ca="1">IFERROR(__xludf.DUMMYFUNCTION("""COMPUTED_VALUE"""),201069574350)</f>
        <v>201069574350</v>
      </c>
      <c r="D157" s="1" t="str">
        <f ca="1">IFERROR(__xludf.DUMMYFUNCTION("""COMPUTED_VALUE"""),"Shirbin")</f>
        <v>Shirbin</v>
      </c>
      <c r="E157" s="12" t="str">
        <f ca="1">IFERROR(__xludf.DUMMYFUNCTION("""COMPUTED_VALUE"""),"https://www.facebook.com/hosamelsayed0")</f>
        <v>https://www.facebook.com/hosamelsayed0</v>
      </c>
      <c r="F157" s="1" t="str">
        <f ca="1">IFERROR(__xludf.DUMMYFUNCTION("""COMPUTED_VALUE"""),"_u4")</f>
        <v>_u4</v>
      </c>
      <c r="G157" s="1"/>
      <c r="H157" s="12" t="str">
        <f ca="1">IFERROR(__xludf.DUMMYFUNCTION("""COMPUTED_VALUE"""),"https://www.linkedin.com/in/hosamdev")</f>
        <v>https://www.linkedin.com/in/hosamdev</v>
      </c>
      <c r="I157" s="1"/>
      <c r="J157" s="1"/>
      <c r="K157" s="1" t="str">
        <f ca="1">IFERROR(__xludf.DUMMYFUNCTION("""COMPUTED_VALUE"""),"Mansoura University")</f>
        <v>Mansoura University</v>
      </c>
      <c r="L157" s="1"/>
      <c r="M157" s="1" t="str">
        <f ca="1">IFERROR(__xludf.DUMMYFUNCTION("""COMPUTED_VALUE"""),"Faculty of Computer &amp; Information Science")</f>
        <v>Faculty of Computer &amp; Information Science</v>
      </c>
      <c r="N157" s="1"/>
      <c r="O157" s="1" t="str">
        <f ca="1">IFERROR(__xludf.DUMMYFUNCTION("""COMPUTED_VALUE"""),"1st Year")</f>
        <v>1st Year</v>
      </c>
      <c r="R157" s="1" t="s">
        <v>303</v>
      </c>
    </row>
    <row r="158" spans="1:18">
      <c r="A158" s="1" t="str">
        <f ca="1">IFERROR(__xludf.DUMMYFUNCTION("""COMPUTED_VALUE"""),"Zeyad gaweesh")</f>
        <v>Zeyad gaweesh</v>
      </c>
      <c r="B158" s="1" t="str">
        <f ca="1">IFERROR(__xludf.DUMMYFUNCTION("""COMPUTED_VALUE"""),"ziadgaweesh@gmail.com")</f>
        <v>ziadgaweesh@gmail.com</v>
      </c>
      <c r="C158" s="1">
        <f ca="1">IFERROR(__xludf.DUMMYFUNCTION("""COMPUTED_VALUE"""),201070219317)</f>
        <v>201070219317</v>
      </c>
      <c r="D158" s="1" t="str">
        <f ca="1">IFERROR(__xludf.DUMMYFUNCTION("""COMPUTED_VALUE"""),"المنصوره،توريل،شارع مكه المكرمه ")</f>
        <v xml:space="preserve">المنصوره،توريل،شارع مكه المكرمه </v>
      </c>
      <c r="E158" s="12" t="str">
        <f ca="1">IFERROR(__xludf.DUMMYFUNCTION("""COMPUTED_VALUE"""),"https://www.facebook.com/profile.php?id=100050074596931")</f>
        <v>https://www.facebook.com/profile.php?id=100050074596931</v>
      </c>
      <c r="F158" s="1" t="str">
        <f ca="1">IFERROR(__xludf.DUMMYFUNCTION("""COMPUTED_VALUE"""),"zgaweesh ")</f>
        <v xml:space="preserve">zgaweesh </v>
      </c>
      <c r="G158" s="12" t="str">
        <f ca="1">IFERROR(__xludf.DUMMYFUNCTION("""COMPUTED_VALUE"""),"https://x.com/GaweeshAA?t=S_qotfFC2nsdv7NXpWgIQA&amp;s=09")</f>
        <v>https://x.com/GaweeshAA?t=S_qotfFC2nsdv7NXpWgIQA&amp;s=09</v>
      </c>
      <c r="H158" s="12" t="str">
        <f ca="1">IFERROR(__xludf.DUMMYFUNCTION("""COMPUTED_VALUE"""),"https://www.linkedin.com/in/zyad-gaweesh-16ab131ab?utm_source=share&amp;utm_campaign=share_via&amp;utm_content=profile&amp;utm_medium=android_app")</f>
        <v>https://www.linkedin.com/in/zyad-gaweesh-16ab131ab?utm_source=share&amp;utm_campaign=share_via&amp;utm_content=profile&amp;utm_medium=android_app</v>
      </c>
      <c r="I158" s="12" t="str">
        <f ca="1">IFERROR(__xludf.DUMMYFUNCTION("""COMPUTED_VALUE"""),"https://github.com/zyadGaweesh")</f>
        <v>https://github.com/zyadGaweesh</v>
      </c>
      <c r="J158" s="1"/>
      <c r="K158" s="1" t="str">
        <f ca="1">IFERROR(__xludf.DUMMYFUNCTION("""COMPUTED_VALUE"""),"Mansoura University")</f>
        <v>Mansoura University</v>
      </c>
      <c r="L158" s="1"/>
      <c r="M158" s="1" t="str">
        <f ca="1">IFERROR(__xludf.DUMMYFUNCTION("""COMPUTED_VALUE"""),"Faculty of Computer &amp; Information Science")</f>
        <v>Faculty of Computer &amp; Information Science</v>
      </c>
      <c r="N158" s="1"/>
      <c r="O158" s="1" t="str">
        <f ca="1">IFERROR(__xludf.DUMMYFUNCTION("""COMPUTED_VALUE"""),"1st Year")</f>
        <v>1st Year</v>
      </c>
      <c r="R158" s="1" t="s">
        <v>304</v>
      </c>
    </row>
    <row r="159" spans="1:18">
      <c r="A159" s="1" t="str">
        <f ca="1">IFERROR(__xludf.DUMMYFUNCTION("""COMPUTED_VALUE"""),"Myrna Nader Aziz Al_safty")</f>
        <v>Myrna Nader Aziz Al_safty</v>
      </c>
      <c r="B159" s="1" t="str">
        <f ca="1">IFERROR(__xludf.DUMMYFUNCTION("""COMPUTED_VALUE"""),"myrnanader4@gmail.com")</f>
        <v>myrnanader4@gmail.com</v>
      </c>
      <c r="C159" s="1">
        <f ca="1">IFERROR(__xludf.DUMMYFUNCTION("""COMPUTED_VALUE"""),201006756142)</f>
        <v>201006756142</v>
      </c>
      <c r="D159" s="1" t="str">
        <f ca="1">IFERROR(__xludf.DUMMYFUNCTION("""COMPUTED_VALUE"""),"Mansoura ")</f>
        <v xml:space="preserve">Mansoura </v>
      </c>
      <c r="E159" s="12" t="str">
        <f ca="1">IFERROR(__xludf.DUMMYFUNCTION("""COMPUTED_VALUE"""),"https://www.facebook.com/myrna.nader.710?mibextid=ZbWKwL")</f>
        <v>https://www.facebook.com/myrna.nader.710?mibextid=ZbWKwL</v>
      </c>
      <c r="F159" s="1" t="str">
        <f ca="1">IFERROR(__xludf.DUMMYFUNCTION("""COMPUTED_VALUE"""),"I have no account ")</f>
        <v xml:space="preserve">I have no account </v>
      </c>
      <c r="G159" s="1"/>
      <c r="H159" s="12" t="str">
        <f ca="1">IFERROR(__xludf.DUMMYFUNCTION("""COMPUTED_VALUE"""),"https://www.linkedin.com/in/myrna-nader-a3084a2b6?utm_source=share&amp;utm_campaign=share_via&amp;utm_content=profile&amp;utm_medium=android_app")</f>
        <v>https://www.linkedin.com/in/myrna-nader-a3084a2b6?utm_source=share&amp;utm_campaign=share_via&amp;utm_content=profile&amp;utm_medium=android_app</v>
      </c>
      <c r="I159" s="1"/>
      <c r="J159" s="1"/>
      <c r="K159" s="1" t="str">
        <f ca="1">IFERROR(__xludf.DUMMYFUNCTION("""COMPUTED_VALUE"""),"Mansoura University")</f>
        <v>Mansoura University</v>
      </c>
      <c r="L159" s="1"/>
      <c r="M159" s="1" t="str">
        <f ca="1">IFERROR(__xludf.DUMMYFUNCTION("""COMPUTED_VALUE"""),"Faculty of Computer &amp; Information Science")</f>
        <v>Faculty of Computer &amp; Information Science</v>
      </c>
      <c r="N159" s="1"/>
      <c r="O159" s="1" t="str">
        <f ca="1">IFERROR(__xludf.DUMMYFUNCTION("""COMPUTED_VALUE"""),"3rd Year")</f>
        <v>3rd Year</v>
      </c>
      <c r="R159" s="1" t="s">
        <v>305</v>
      </c>
    </row>
    <row r="160" spans="1:18">
      <c r="A160" s="1" t="str">
        <f ca="1">IFERROR(__xludf.DUMMYFUNCTION("""COMPUTED_VALUE"""),"Salah Fathy")</f>
        <v>Salah Fathy</v>
      </c>
      <c r="B160" s="1" t="str">
        <f ca="1">IFERROR(__xludf.DUMMYFUNCTION("""COMPUTED_VALUE"""),"sf116170@gmail.com")</f>
        <v>sf116170@gmail.com</v>
      </c>
      <c r="C160" s="1">
        <f ca="1">IFERROR(__xludf.DUMMYFUNCTION("""COMPUTED_VALUE"""),201061420169)</f>
        <v>201061420169</v>
      </c>
      <c r="D160" s="1" t="str">
        <f ca="1">IFERROR(__xludf.DUMMYFUNCTION("""COMPUTED_VALUE"""),"10th of Ramadan ")</f>
        <v xml:space="preserve">10th of Ramadan </v>
      </c>
      <c r="E160" s="12" t="str">
        <f ca="1">IFERROR(__xludf.DUMMYFUNCTION("""COMPUTED_VALUE"""),"https://www.facebook.com/share/1Eq2sifAxM/")</f>
        <v>https://www.facebook.com/share/1Eq2sifAxM/</v>
      </c>
      <c r="F160" s="1" t="str">
        <f ca="1">IFERROR(__xludf.DUMMYFUNCTION("""COMPUTED_VALUE"""),"salah_2004")</f>
        <v>salah_2004</v>
      </c>
      <c r="G160" s="1"/>
      <c r="H160" s="12" t="str">
        <f ca="1">IFERROR(__xludf.DUMMYFUNCTION("""COMPUTED_VALUE"""),"https://www.linkedin.com/in/salah-fathy-2219b525b?utm_source=share&amp;utm_campaign=share_via&amp;utm_content=profile&amp;utm_medium=android_app")</f>
        <v>https://www.linkedin.com/in/salah-fathy-2219b525b?utm_source=share&amp;utm_campaign=share_via&amp;utm_content=profile&amp;utm_medium=android_app</v>
      </c>
      <c r="I160" s="1"/>
      <c r="J160" s="1"/>
      <c r="K160" s="1" t="str">
        <f ca="1">IFERROR(__xludf.DUMMYFUNCTION("""COMPUTED_VALUE"""),"Other")</f>
        <v>Other</v>
      </c>
      <c r="L160" s="1"/>
      <c r="M160" s="1" t="str">
        <f ca="1">IFERROR(__xludf.DUMMYFUNCTION("""COMPUTED_VALUE"""),"Faculty of Computer &amp; Information Science")</f>
        <v>Faculty of Computer &amp; Information Science</v>
      </c>
      <c r="N160" s="1"/>
      <c r="O160" s="1" t="str">
        <f ca="1">IFERROR(__xludf.DUMMYFUNCTION("""COMPUTED_VALUE"""),"3rd Year")</f>
        <v>3rd Year</v>
      </c>
      <c r="R160" s="1" t="s">
        <v>306</v>
      </c>
    </row>
    <row r="161" spans="1:18">
      <c r="A161" s="1" t="str">
        <f ca="1">IFERROR(__xludf.DUMMYFUNCTION("""COMPUTED_VALUE"""),"Mohamed Ahmed Abdelghany ")</f>
        <v xml:space="preserve">Mohamed Ahmed Abdelghany </v>
      </c>
      <c r="B161" s="1" t="str">
        <f ca="1">IFERROR(__xludf.DUMMYFUNCTION("""COMPUTED_VALUE"""),"m7339852@gmail.com")</f>
        <v>m7339852@gmail.com</v>
      </c>
      <c r="C161" s="1">
        <f ca="1">IFERROR(__xludf.DUMMYFUNCTION("""COMPUTED_VALUE"""),201010449561)</f>
        <v>201010449561</v>
      </c>
      <c r="D161" s="1" t="str">
        <f ca="1">IFERROR(__xludf.DUMMYFUNCTION("""COMPUTED_VALUE"""),"١٠ش السروجي المتفرع من شارع عبد السلام المنصوره")</f>
        <v>١٠ش السروجي المتفرع من شارع عبد السلام المنصوره</v>
      </c>
      <c r="E161" s="12" t="str">
        <f ca="1">IFERROR(__xludf.DUMMYFUNCTION("""COMPUTED_VALUE"""),"https://www.facebook.com/profile.php?id=100073659169892&amp;mibextid=ZbWKwL")</f>
        <v>https://www.facebook.com/profile.php?id=100073659169892&amp;mibextid=ZbWKwL</v>
      </c>
      <c r="F161" s="1" t="str">
        <f ca="1">IFERROR(__xludf.DUMMYFUNCTION("""COMPUTED_VALUE"""),"abdelghany144")</f>
        <v>abdelghany144</v>
      </c>
      <c r="G161" s="1"/>
      <c r="H161" s="1"/>
      <c r="I161" s="1"/>
      <c r="J161" s="1"/>
      <c r="K161" s="1" t="str">
        <f ca="1">IFERROR(__xludf.DUMMYFUNCTION("""COMPUTED_VALUE"""),"Mansoura University")</f>
        <v>Mansoura University</v>
      </c>
      <c r="L161" s="1"/>
      <c r="M161" s="1" t="str">
        <f ca="1">IFERROR(__xludf.DUMMYFUNCTION("""COMPUTED_VALUE"""),"Faculty of Computer &amp; Information Science")</f>
        <v>Faculty of Computer &amp; Information Science</v>
      </c>
      <c r="N161" s="1"/>
      <c r="O161" s="1" t="str">
        <f ca="1">IFERROR(__xludf.DUMMYFUNCTION("""COMPUTED_VALUE"""),"1st Year")</f>
        <v>1st Year</v>
      </c>
      <c r="R161" s="1" t="s">
        <v>307</v>
      </c>
    </row>
    <row r="162" spans="1:18">
      <c r="A162" s="1" t="str">
        <f ca="1">IFERROR(__xludf.DUMMYFUNCTION("""COMPUTED_VALUE"""),"hassan atia wahba  ")</f>
        <v xml:space="preserve">hassan atia wahba  </v>
      </c>
      <c r="B162" s="1" t="str">
        <f ca="1">IFERROR(__xludf.DUMMYFUNCTION("""COMPUTED_VALUE"""),"hatia1248@gmail.com")</f>
        <v>hatia1248@gmail.com</v>
      </c>
      <c r="C162" s="1">
        <f ca="1">IFERROR(__xludf.DUMMYFUNCTION("""COMPUTED_VALUE"""),201020251683)</f>
        <v>201020251683</v>
      </c>
      <c r="D162" s="1" t="str">
        <f ca="1">IFERROR(__xludf.DUMMYFUNCTION("""COMPUTED_VALUE"""),"eldaqahlia,mansoura ")</f>
        <v xml:space="preserve">eldaqahlia,mansoura </v>
      </c>
      <c r="E162" s="12" t="str">
        <f ca="1">IFERROR(__xludf.DUMMYFUNCTION("""COMPUTED_VALUE"""),"https://www.facebook.com/hassan.atia.7773")</f>
        <v>https://www.facebook.com/hassan.atia.7773</v>
      </c>
      <c r="F162" s="1" t="str">
        <f ca="1">IFERROR(__xludf.DUMMYFUNCTION("""COMPUTED_VALUE"""),"hassan_atia")</f>
        <v>hassan_atia</v>
      </c>
      <c r="G162" s="1"/>
      <c r="H162" s="12" t="str">
        <f ca="1">IFERROR(__xludf.DUMMYFUNCTION("""COMPUTED_VALUE"""),"https://www.linkedin.com/in/hassan-3tia/?lipi=urn%3Ali%3Apage%3Ad_flagship3_profile_view_base%3BYGLjCGlXQsqZpJEk85kT8Q%3D%3D")</f>
        <v>https://www.linkedin.com/in/hassan-3tia/?lipi=urn%3Ali%3Apage%3Ad_flagship3_profile_view_base%3BYGLjCGlXQsqZpJEk85kT8Q%3D%3D</v>
      </c>
      <c r="I162" s="1"/>
      <c r="J162" s="1"/>
      <c r="K162" s="1" t="str">
        <f ca="1">IFERROR(__xludf.DUMMYFUNCTION("""COMPUTED_VALUE"""),"Mansoura University")</f>
        <v>Mansoura University</v>
      </c>
      <c r="L162" s="1"/>
      <c r="M162" s="1" t="str">
        <f ca="1">IFERROR(__xludf.DUMMYFUNCTION("""COMPUTED_VALUE"""),"Faculty of Computer &amp; Information Science")</f>
        <v>Faculty of Computer &amp; Information Science</v>
      </c>
      <c r="N162" s="1"/>
      <c r="O162" s="1" t="str">
        <f ca="1">IFERROR(__xludf.DUMMYFUNCTION("""COMPUTED_VALUE"""),"3rd Year")</f>
        <v>3rd Year</v>
      </c>
      <c r="R162" s="1" t="s">
        <v>308</v>
      </c>
    </row>
    <row r="163" spans="1:18">
      <c r="A163" s="1" t="str">
        <f ca="1">IFERROR(__xludf.DUMMYFUNCTION("""COMPUTED_VALUE"""),"mohamed ahmed alshraky")</f>
        <v>mohamed ahmed alshraky</v>
      </c>
      <c r="B163" s="1" t="str">
        <f ca="1">IFERROR(__xludf.DUMMYFUNCTION("""COMPUTED_VALUE"""),"mohmed.alshraky15@gmail.com")</f>
        <v>mohmed.alshraky15@gmail.com</v>
      </c>
      <c r="C163" s="1">
        <f ca="1">IFERROR(__xludf.DUMMYFUNCTION("""COMPUTED_VALUE"""),201554102025)</f>
        <v>201554102025</v>
      </c>
      <c r="D163" s="1" t="str">
        <f ca="1">IFERROR(__xludf.DUMMYFUNCTION("""COMPUTED_VALUE"""),"nabrouh-mansoura")</f>
        <v>nabrouh-mansoura</v>
      </c>
      <c r="E163" s="12" t="str">
        <f ca="1">IFERROR(__xludf.DUMMYFUNCTION("""COMPUTED_VALUE"""),"https://www.facebook.com/profile.php?id=100018007389854")</f>
        <v>https://www.facebook.com/profile.php?id=100018007389854</v>
      </c>
      <c r="F163" s="1" t="str">
        <f ca="1">IFERROR(__xludf.DUMMYFUNCTION("""COMPUTED_VALUE"""),"mohamed.alshraky15")</f>
        <v>mohamed.alshraky15</v>
      </c>
      <c r="G163" s="1"/>
      <c r="H163" s="1"/>
      <c r="I163" s="1"/>
      <c r="J163" s="1"/>
      <c r="K163" s="1" t="str">
        <f ca="1">IFERROR(__xludf.DUMMYFUNCTION("""COMPUTED_VALUE"""),"Mansoura University")</f>
        <v>Mansoura University</v>
      </c>
      <c r="L163" s="1"/>
      <c r="M163" s="1" t="str">
        <f ca="1">IFERROR(__xludf.DUMMYFUNCTION("""COMPUTED_VALUE"""),"Faculty of Computer &amp; Information Science")</f>
        <v>Faculty of Computer &amp; Information Science</v>
      </c>
      <c r="N163" s="1"/>
      <c r="O163" s="1" t="str">
        <f ca="1">IFERROR(__xludf.DUMMYFUNCTION("""COMPUTED_VALUE"""),"2nd Year")</f>
        <v>2nd Year</v>
      </c>
      <c r="R163" s="1" t="s">
        <v>309</v>
      </c>
    </row>
    <row r="164" spans="1:18">
      <c r="A164" s="1" t="str">
        <f ca="1">IFERROR(__xludf.DUMMYFUNCTION("""COMPUTED_VALUE"""),"Sama Hazem Elsayed Mohamed Hamza ")</f>
        <v xml:space="preserve">Sama Hazem Elsayed Mohamed Hamza </v>
      </c>
      <c r="B164" s="1" t="str">
        <f ca="1">IFERROR(__xludf.DUMMYFUNCTION("""COMPUTED_VALUE"""),"samahazem47@gmail.com")</f>
        <v>samahazem47@gmail.com</v>
      </c>
      <c r="C164" s="1">
        <f ca="1">IFERROR(__xludf.DUMMYFUNCTION("""COMPUTED_VALUE"""),201006331503)</f>
        <v>201006331503</v>
      </c>
      <c r="D164" s="1" t="str">
        <f ca="1">IFERROR(__xludf.DUMMYFUNCTION("""COMPUTED_VALUE"""),"mansoura, toreel")</f>
        <v>mansoura, toreel</v>
      </c>
      <c r="E164" s="12" t="str">
        <f ca="1">IFERROR(__xludf.DUMMYFUNCTION("""COMPUTED_VALUE"""),"https://www.facebook.com/profile.php?id=100077678634980&amp;mibextid=LQQJ4d")</f>
        <v>https://www.facebook.com/profile.php?id=100077678634980&amp;mibextid=LQQJ4d</v>
      </c>
      <c r="F164" s="1" t="str">
        <f ca="1">IFERROR(__xludf.DUMMYFUNCTION("""COMPUTED_VALUE"""),"don't have one")</f>
        <v>don't have one</v>
      </c>
      <c r="G164" s="1"/>
      <c r="H164" s="1"/>
      <c r="I164" s="1"/>
      <c r="J164" s="1"/>
      <c r="K164" s="1" t="str">
        <f ca="1">IFERROR(__xludf.DUMMYFUNCTION("""COMPUTED_VALUE"""),"Mansoura University")</f>
        <v>Mansoura University</v>
      </c>
      <c r="L164" s="1"/>
      <c r="M164" s="1" t="str">
        <f ca="1">IFERROR(__xludf.DUMMYFUNCTION("""COMPUTED_VALUE"""),"Faculty of Computer &amp; Information Science")</f>
        <v>Faculty of Computer &amp; Information Science</v>
      </c>
      <c r="N164" s="1"/>
      <c r="O164" s="1" t="str">
        <f ca="1">IFERROR(__xludf.DUMMYFUNCTION("""COMPUTED_VALUE"""),"1st Year")</f>
        <v>1st Year</v>
      </c>
      <c r="R164" s="1" t="s">
        <v>310</v>
      </c>
    </row>
    <row r="165" spans="1:18">
      <c r="A165" s="1" t="str">
        <f ca="1">IFERROR(__xludf.DUMMYFUNCTION("""COMPUTED_VALUE"""),"حسام شحاته السيد العجمي ")</f>
        <v xml:space="preserve">حسام شحاته السيد العجمي </v>
      </c>
      <c r="B165" s="1" t="str">
        <f ca="1">IFERROR(__xludf.DUMMYFUNCTION("""COMPUTED_VALUE"""),"hossamshehata254@gmail.com")</f>
        <v>hossamshehata254@gmail.com</v>
      </c>
      <c r="C165" s="1">
        <f ca="1">IFERROR(__xludf.DUMMYFUNCTION("""COMPUTED_VALUE"""),201066081582)</f>
        <v>201066081582</v>
      </c>
      <c r="D165" s="1" t="str">
        <f ca="1">IFERROR(__xludf.DUMMYFUNCTION("""COMPUTED_VALUE"""),"الدقهليه -بالمنصورة ")</f>
        <v xml:space="preserve">الدقهليه -بالمنصورة </v>
      </c>
      <c r="E165" s="12" t="str">
        <f ca="1">IFERROR(__xludf.DUMMYFUNCTION("""COMPUTED_VALUE"""),"https://www.facebook.com/hossam.shehata.796?mibextid=ZbWKwL")</f>
        <v>https://www.facebook.com/hossam.shehata.796?mibextid=ZbWKwL</v>
      </c>
      <c r="F165" s="1" t="str">
        <f ca="1">IFERROR(__xludf.DUMMYFUNCTION("""COMPUTED_VALUE"""),"No")</f>
        <v>No</v>
      </c>
      <c r="G165" s="1"/>
      <c r="H165" s="12" t="str">
        <f ca="1">IFERROR(__xludf.DUMMYFUNCTION("""COMPUTED_VALUE"""),"https://www.linkedin.com/in/hossam-shehata-0759a7317?utm_source=share&amp;utm_campaign=share_via&amp;utm_content=profile&amp;utm_medium=android_app")</f>
        <v>https://www.linkedin.com/in/hossam-shehata-0759a7317?utm_source=share&amp;utm_campaign=share_via&amp;utm_content=profile&amp;utm_medium=android_app</v>
      </c>
      <c r="I165" s="1"/>
      <c r="J165" s="1"/>
      <c r="K165" s="1" t="str">
        <f ca="1">IFERROR(__xludf.DUMMYFUNCTION("""COMPUTED_VALUE"""),"Mansoura University")</f>
        <v>Mansoura University</v>
      </c>
      <c r="L165" s="1"/>
      <c r="M165" s="1" t="str">
        <f ca="1">IFERROR(__xludf.DUMMYFUNCTION("""COMPUTED_VALUE"""),"Faculty of Computer &amp; Information Science")</f>
        <v>Faculty of Computer &amp; Information Science</v>
      </c>
      <c r="N165" s="1"/>
      <c r="O165" s="1" t="str">
        <f ca="1">IFERROR(__xludf.DUMMYFUNCTION("""COMPUTED_VALUE"""),"3rd Year")</f>
        <v>3rd Year</v>
      </c>
      <c r="R165" s="1" t="s">
        <v>311</v>
      </c>
    </row>
    <row r="166" spans="1:18">
      <c r="A166" s="1" t="str">
        <f ca="1">IFERROR(__xludf.DUMMYFUNCTION("""COMPUTED_VALUE"""),"Rawda AbdElglila Eweda")</f>
        <v>Rawda AbdElglila Eweda</v>
      </c>
      <c r="B166" s="1" t="str">
        <f ca="1">IFERROR(__xludf.DUMMYFUNCTION("""COMPUTED_VALUE"""),"rawdaeweda@gmail.com")</f>
        <v>rawdaeweda@gmail.com</v>
      </c>
      <c r="C166" s="1">
        <f ca="1">IFERROR(__xludf.DUMMYFUNCTION("""COMPUTED_VALUE"""),201017786231)</f>
        <v>201017786231</v>
      </c>
      <c r="D166" s="1" t="str">
        <f ca="1">IFERROR(__xludf.DUMMYFUNCTION("""COMPUTED_VALUE"""),"Sherbin Al-Dahria ")</f>
        <v xml:space="preserve">Sherbin Al-Dahria </v>
      </c>
      <c r="E166" s="12" t="str">
        <f ca="1">IFERROR(__xludf.DUMMYFUNCTION("""COMPUTED_VALUE"""),"https://www.facebook.com/rawda.eweda.9?mibextid=ZbWKwL")</f>
        <v>https://www.facebook.com/rawda.eweda.9?mibextid=ZbWKwL</v>
      </c>
      <c r="F166" s="1" t="str">
        <f ca="1">IFERROR(__xludf.DUMMYFUNCTION("""COMPUTED_VALUE"""),"Rawda Eweda ")</f>
        <v xml:space="preserve">Rawda Eweda </v>
      </c>
      <c r="G166" s="1"/>
      <c r="H166" s="1"/>
      <c r="I166" s="1"/>
      <c r="J166" s="1"/>
      <c r="K166" s="1" t="str">
        <f ca="1">IFERROR(__xludf.DUMMYFUNCTION("""COMPUTED_VALUE"""),"Mansoura University")</f>
        <v>Mansoura University</v>
      </c>
      <c r="L166" s="1"/>
      <c r="M166" s="1" t="str">
        <f ca="1">IFERROR(__xludf.DUMMYFUNCTION("""COMPUTED_VALUE"""),"Faculty of Computer &amp; Information Science")</f>
        <v>Faculty of Computer &amp; Information Science</v>
      </c>
      <c r="N166" s="1"/>
      <c r="O166" s="1" t="str">
        <f ca="1">IFERROR(__xludf.DUMMYFUNCTION("""COMPUTED_VALUE"""),"1st Year")</f>
        <v>1st Year</v>
      </c>
      <c r="R166" s="1" t="s">
        <v>312</v>
      </c>
    </row>
    <row r="167" spans="1:18">
      <c r="A167" s="1" t="str">
        <f ca="1">IFERROR(__xludf.DUMMYFUNCTION("""COMPUTED_VALUE"""),"salma ashraf abdelrahman")</f>
        <v>salma ashraf abdelrahman</v>
      </c>
      <c r="B167" s="1" t="str">
        <f ca="1">IFERROR(__xludf.DUMMYFUNCTION("""COMPUTED_VALUE"""),"salma010ashraf@gmail.com")</f>
        <v>salma010ashraf@gmail.com</v>
      </c>
      <c r="C167" s="1">
        <f ca="1">IFERROR(__xludf.DUMMYFUNCTION("""COMPUTED_VALUE"""),201090092558)</f>
        <v>201090092558</v>
      </c>
      <c r="D167" s="1" t="str">
        <f ca="1">IFERROR(__xludf.DUMMYFUNCTION("""COMPUTED_VALUE"""),"Mansoura")</f>
        <v>Mansoura</v>
      </c>
      <c r="E167" s="12" t="str">
        <f ca="1">IFERROR(__xludf.DUMMYFUNCTION("""COMPUTED_VALUE"""),"https://www.facebook.com/profile.php?id=100022527114123&amp;mibextid=ZbWKwL")</f>
        <v>https://www.facebook.com/profile.php?id=100022527114123&amp;mibextid=ZbWKwL</v>
      </c>
      <c r="F167" s="1" t="str">
        <f ca="1">IFERROR(__xludf.DUMMYFUNCTION("""COMPUTED_VALUE"""),"salma0602")</f>
        <v>salma0602</v>
      </c>
      <c r="G167" s="1"/>
      <c r="H167" s="12" t="str">
        <f ca="1">IFERROR(__xludf.DUMMYFUNCTION("""COMPUTED_VALUE"""),"https://www.linkedin.com/in/salma-ashraf-273298320")</f>
        <v>https://www.linkedin.com/in/salma-ashraf-273298320</v>
      </c>
      <c r="I167" s="1"/>
      <c r="J167" s="1"/>
      <c r="K167" s="1" t="str">
        <f ca="1">IFERROR(__xludf.DUMMYFUNCTION("""COMPUTED_VALUE"""),"Mansoura University")</f>
        <v>Mansoura University</v>
      </c>
      <c r="L167" s="1"/>
      <c r="M167" s="1" t="str">
        <f ca="1">IFERROR(__xludf.DUMMYFUNCTION("""COMPUTED_VALUE"""),"Faculty of Computer &amp; Information Science")</f>
        <v>Faculty of Computer &amp; Information Science</v>
      </c>
      <c r="N167" s="1"/>
      <c r="O167" s="1" t="str">
        <f ca="1">IFERROR(__xludf.DUMMYFUNCTION("""COMPUTED_VALUE"""),"2nd Year")</f>
        <v>2nd Year</v>
      </c>
      <c r="R167" s="1" t="s">
        <v>5</v>
      </c>
    </row>
    <row r="168" spans="1:18">
      <c r="A168" s="1" t="str">
        <f ca="1">IFERROR(__xludf.DUMMYFUNCTION("""COMPUTED_VALUE"""),"Abdelrahman moustafa Elramady ")</f>
        <v xml:space="preserve">Abdelrahman moustafa Elramady </v>
      </c>
      <c r="B168" s="1" t="str">
        <f ca="1">IFERROR(__xludf.DUMMYFUNCTION("""COMPUTED_VALUE"""),"elramadyabdelraman@gmail.com")</f>
        <v>elramadyabdelraman@gmail.com</v>
      </c>
      <c r="C168" s="1">
        <f ca="1">IFERROR(__xludf.DUMMYFUNCTION("""COMPUTED_VALUE"""),201156915531)</f>
        <v>201156915531</v>
      </c>
      <c r="D168" s="1" t="str">
        <f ca="1">IFERROR(__xludf.DUMMYFUNCTION("""COMPUTED_VALUE"""),"Dakahlia-Aga - menyat smanoud")</f>
        <v>Dakahlia-Aga - menyat smanoud</v>
      </c>
      <c r="E168" s="12" t="str">
        <f ca="1">IFERROR(__xludf.DUMMYFUNCTION("""COMPUTED_VALUE"""),"https://www.facebook.com/share/SGhDK4om94Kyzx5R/?mibextid=")</f>
        <v>https://www.facebook.com/share/SGhDK4om94Kyzx5R/?mibextid=</v>
      </c>
      <c r="F168" s="1" t="str">
        <f ca="1">IFERROR(__xludf.DUMMYFUNCTION("""COMPUTED_VALUE"""),"abdelrahman08841")</f>
        <v>abdelrahman08841</v>
      </c>
      <c r="G168" s="12" t="str">
        <f ca="1">IFERROR(__xludf.DUMMYFUNCTION("""COMPUTED_VALUE"""),"https://x.com/ab00delramady")</f>
        <v>https://x.com/ab00delramady</v>
      </c>
      <c r="H168" s="12" t="str">
        <f ca="1">IFERROR(__xludf.DUMMYFUNCTION("""COMPUTED_VALUE"""),"https://eg.linkedin.com/in/abdelraman-elramady-56a040330")</f>
        <v>https://eg.linkedin.com/in/abdelraman-elramady-56a040330</v>
      </c>
      <c r="I168" s="12" t="str">
        <f ca="1">IFERROR(__xludf.DUMMYFUNCTION("""COMPUTED_VALUE"""),"https://github.com/Abdelrahmanelramady")</f>
        <v>https://github.com/Abdelrahmanelramady</v>
      </c>
      <c r="J168" s="12" t="str">
        <f ca="1">IFERROR(__xludf.DUMMYFUNCTION("""COMPUTED_VALUE"""),"https://www.behance.net/abdelraelramad1")</f>
        <v>https://www.behance.net/abdelraelramad1</v>
      </c>
      <c r="K168" s="1" t="str">
        <f ca="1">IFERROR(__xludf.DUMMYFUNCTION("""COMPUTED_VALUE"""),"Mansoura University")</f>
        <v>Mansoura University</v>
      </c>
      <c r="L168" s="1"/>
      <c r="M168" s="1" t="str">
        <f ca="1">IFERROR(__xludf.DUMMYFUNCTION("""COMPUTED_VALUE"""),"Other")</f>
        <v>Other</v>
      </c>
      <c r="N168" s="1" t="str">
        <f ca="1">IFERROR(__xludf.DUMMYFUNCTION("""COMPUTED_VALUE""")," Faculty of Nursing ")</f>
        <v xml:space="preserve"> Faculty of Nursing </v>
      </c>
      <c r="O168" s="1" t="str">
        <f ca="1">IFERROR(__xludf.DUMMYFUNCTION("""COMPUTED_VALUE"""),"2nd Year")</f>
        <v>2nd Year</v>
      </c>
      <c r="R168" s="1" t="s">
        <v>313</v>
      </c>
    </row>
    <row r="169" spans="1:18">
      <c r="A169" s="1" t="str">
        <f ca="1">IFERROR(__xludf.DUMMYFUNCTION("""COMPUTED_VALUE"""),"Mohamed Ali ")</f>
        <v xml:space="preserve">Mohamed Ali </v>
      </c>
      <c r="B169" s="1" t="str">
        <f ca="1">IFERROR(__xludf.DUMMYFUNCTION("""COMPUTED_VALUE"""),"mly57003@gmail.com")</f>
        <v>mly57003@gmail.com</v>
      </c>
      <c r="C169" s="1">
        <f ca="1">IFERROR(__xludf.DUMMYFUNCTION("""COMPUTED_VALUE"""),201507738329)</f>
        <v>201507738329</v>
      </c>
      <c r="D169" s="1" t="str">
        <f ca="1">IFERROR(__xludf.DUMMYFUNCTION("""COMPUTED_VALUE"""),"Mansoura")</f>
        <v>Mansoura</v>
      </c>
      <c r="E169" s="12" t="str">
        <f ca="1">IFERROR(__xludf.DUMMYFUNCTION("""COMPUTED_VALUE"""),"https://www.facebook.com/profile.php?id=100010529402835")</f>
        <v>https://www.facebook.com/profile.php?id=100010529402835</v>
      </c>
      <c r="F169" s="1" t="str">
        <f ca="1">IFERROR(__xludf.DUMMYFUNCTION("""COMPUTED_VALUE"""),"0xv1rus")</f>
        <v>0xv1rus</v>
      </c>
      <c r="G169" s="1"/>
      <c r="H169" s="12" t="str">
        <f ca="1">IFERROR(__xludf.DUMMYFUNCTION("""COMPUTED_VALUE"""),"https://www.linkedin.com/in/mahmd-ali/")</f>
        <v>https://www.linkedin.com/in/mahmd-ali/</v>
      </c>
      <c r="I169" s="1"/>
      <c r="J169" s="1"/>
      <c r="K169" s="1" t="str">
        <f ca="1">IFERROR(__xludf.DUMMYFUNCTION("""COMPUTED_VALUE"""),"Mansoura University")</f>
        <v>Mansoura University</v>
      </c>
      <c r="L169" s="1"/>
      <c r="M169" s="1" t="str">
        <f ca="1">IFERROR(__xludf.DUMMYFUNCTION("""COMPUTED_VALUE"""),"Faculty of Computer &amp; Information Science")</f>
        <v>Faculty of Computer &amp; Information Science</v>
      </c>
      <c r="N169" s="1"/>
      <c r="O169" s="1" t="str">
        <f ca="1">IFERROR(__xludf.DUMMYFUNCTION("""COMPUTED_VALUE"""),"4th Year")</f>
        <v>4th Year</v>
      </c>
      <c r="R169" s="1" t="s">
        <v>314</v>
      </c>
    </row>
    <row r="170" spans="1:18">
      <c r="A170" s="1" t="str">
        <f ca="1">IFERROR(__xludf.DUMMYFUNCTION("""COMPUTED_VALUE"""),"Mohamed Mohamed Rafat")</f>
        <v>Mohamed Mohamed Rafat</v>
      </c>
      <c r="B170" s="1" t="str">
        <f ca="1">IFERROR(__xludf.DUMMYFUNCTION("""COMPUTED_VALUE"""),"mo7ammed.ja3far@gmail.com")</f>
        <v>mo7ammed.ja3far@gmail.com</v>
      </c>
      <c r="C170" s="1">
        <f ca="1">IFERROR(__xludf.DUMMYFUNCTION("""COMPUTED_VALUE"""),201124839303)</f>
        <v>201124839303</v>
      </c>
      <c r="D170" s="1" t="str">
        <f ca="1">IFERROR(__xludf.DUMMYFUNCTION("""COMPUTED_VALUE"""),"Samannud, Al Gharbiyah, Egypt")</f>
        <v>Samannud, Al Gharbiyah, Egypt</v>
      </c>
      <c r="E170" s="12" t="str">
        <f ca="1">IFERROR(__xludf.DUMMYFUNCTION("""COMPUTED_VALUE"""),"https://www.facebook.com/Mo7ammed.Ja3far")</f>
        <v>https://www.facebook.com/Mo7ammed.Ja3far</v>
      </c>
      <c r="F170" s="1" t="str">
        <f ca="1">IFERROR(__xludf.DUMMYFUNCTION("""COMPUTED_VALUE"""),"mhmd_jafar")</f>
        <v>mhmd_jafar</v>
      </c>
      <c r="G170" s="1"/>
      <c r="H170" s="1"/>
      <c r="I170" s="12" t="str">
        <f ca="1">IFERROR(__xludf.DUMMYFUNCTION("""COMPUTED_VALUE"""),"https://github.com/Mo7ammed-Ja3far")</f>
        <v>https://github.com/Mo7ammed-Ja3far</v>
      </c>
      <c r="J170" s="1"/>
      <c r="K170" s="1" t="str">
        <f ca="1">IFERROR(__xludf.DUMMYFUNCTION("""COMPUTED_VALUE"""),"Mansoura University")</f>
        <v>Mansoura University</v>
      </c>
      <c r="L170" s="1"/>
      <c r="M170" s="1" t="str">
        <f ca="1">IFERROR(__xludf.DUMMYFUNCTION("""COMPUTED_VALUE"""),"Faculty of Computer &amp; Information Science")</f>
        <v>Faculty of Computer &amp; Information Science</v>
      </c>
      <c r="N170" s="1"/>
      <c r="O170" s="1" t="str">
        <f ca="1">IFERROR(__xludf.DUMMYFUNCTION("""COMPUTED_VALUE"""),"2nd Year")</f>
        <v>2nd Year</v>
      </c>
      <c r="R170" s="1" t="s">
        <v>315</v>
      </c>
    </row>
    <row r="171" spans="1:18">
      <c r="A171" s="1" t="str">
        <f ca="1">IFERROR(__xludf.DUMMYFUNCTION("""COMPUTED_VALUE"""),"Yousef Ahmed EL-esawy")</f>
        <v>Yousef Ahmed EL-esawy</v>
      </c>
      <c r="B171" s="1" t="str">
        <f ca="1">IFERROR(__xludf.DUMMYFUNCTION("""COMPUTED_VALUE"""),"youssefahmedelesawy@gmail.com")</f>
        <v>youssefahmedelesawy@gmail.com</v>
      </c>
      <c r="C171" s="1">
        <f ca="1">IFERROR(__xludf.DUMMYFUNCTION("""COMPUTED_VALUE"""),201012386362)</f>
        <v>201012386362</v>
      </c>
      <c r="D171" s="1" t="str">
        <f ca="1">IFERROR(__xludf.DUMMYFUNCTION("""COMPUTED_VALUE"""),"El-Mahalla EL-Kubra")</f>
        <v>El-Mahalla EL-Kubra</v>
      </c>
      <c r="E171" s="12" t="str">
        <f ca="1">IFERROR(__xludf.DUMMYFUNCTION("""COMPUTED_VALUE"""),"https://www.facebook.com/yuossef.elessawy")</f>
        <v>https://www.facebook.com/yuossef.elessawy</v>
      </c>
      <c r="F171" s="12" t="str">
        <f ca="1">IFERROR(__xludf.DUMMYFUNCTION("""COMPUTED_VALUE"""),"https://discord.com/channels/@me/1292439273512894498")</f>
        <v>https://discord.com/channels/@me/1292439273512894498</v>
      </c>
      <c r="G171" s="1"/>
      <c r="H171" s="12" t="str">
        <f ca="1">IFERROR(__xludf.DUMMYFUNCTION("""COMPUTED_VALUE"""),"https://www.linkedin.com/in/yousef-el-esawy-a0b682321/")</f>
        <v>https://www.linkedin.com/in/yousef-el-esawy-a0b682321/</v>
      </c>
      <c r="I171" s="1"/>
      <c r="J171" s="1"/>
      <c r="K171" s="1" t="str">
        <f ca="1">IFERROR(__xludf.DUMMYFUNCTION("""COMPUTED_VALUE"""),"Mansoura University")</f>
        <v>Mansoura University</v>
      </c>
      <c r="L171" s="1"/>
      <c r="M171" s="1" t="str">
        <f ca="1">IFERROR(__xludf.DUMMYFUNCTION("""COMPUTED_VALUE"""),"Faculty of Computer &amp; Information Science")</f>
        <v>Faculty of Computer &amp; Information Science</v>
      </c>
      <c r="N171" s="1"/>
      <c r="O171" s="1" t="str">
        <f ca="1">IFERROR(__xludf.DUMMYFUNCTION("""COMPUTED_VALUE"""),"1st Year")</f>
        <v>1st Year</v>
      </c>
      <c r="R171" s="1" t="s">
        <v>50</v>
      </c>
    </row>
    <row r="172" spans="1:18">
      <c r="A172" s="1" t="str">
        <f ca="1">IFERROR(__xludf.DUMMYFUNCTION("""COMPUTED_VALUE"""),"Farah Mohamed Salama")</f>
        <v>Farah Mohamed Salama</v>
      </c>
      <c r="B172" s="1" t="str">
        <f ca="1">IFERROR(__xludf.DUMMYFUNCTION("""COMPUTED_VALUE"""),"faroha.salama@yahoo.com")</f>
        <v>faroha.salama@yahoo.com</v>
      </c>
      <c r="C172" s="1">
        <f ca="1">IFERROR(__xludf.DUMMYFUNCTION("""COMPUTED_VALUE"""),201013505400)</f>
        <v>201013505400</v>
      </c>
      <c r="D172" s="1" t="str">
        <f ca="1">IFERROR(__xludf.DUMMYFUNCTION("""COMPUTED_VALUE"""),"Mansoura")</f>
        <v>Mansoura</v>
      </c>
      <c r="E172" s="12" t="str">
        <f ca="1">IFERROR(__xludf.DUMMYFUNCTION("""COMPUTED_VALUE"""),"https://www.facebook.com/farah.salama.39?mibextid=LQQJ4d")</f>
        <v>https://www.facebook.com/farah.salama.39?mibextid=LQQJ4d</v>
      </c>
      <c r="F172" s="1" t="str">
        <f ca="1">IFERROR(__xludf.DUMMYFUNCTION("""COMPUTED_VALUE"""),"None")</f>
        <v>None</v>
      </c>
      <c r="G172" s="1"/>
      <c r="H172" s="1"/>
      <c r="I172" s="1"/>
      <c r="J172" s="1"/>
      <c r="K172" s="1" t="str">
        <f ca="1">IFERROR(__xludf.DUMMYFUNCTION("""COMPUTED_VALUE"""),"Mansoura University")</f>
        <v>Mansoura University</v>
      </c>
      <c r="L172" s="1"/>
      <c r="M172" s="1" t="str">
        <f ca="1">IFERROR(__xludf.DUMMYFUNCTION("""COMPUTED_VALUE"""),"Faculty of Computer &amp; Information Science")</f>
        <v>Faculty of Computer &amp; Information Science</v>
      </c>
      <c r="N172" s="1"/>
      <c r="O172" s="1" t="str">
        <f ca="1">IFERROR(__xludf.DUMMYFUNCTION("""COMPUTED_VALUE"""),"2nd Year")</f>
        <v>2nd Year</v>
      </c>
      <c r="R172" s="1" t="s">
        <v>316</v>
      </c>
    </row>
    <row r="173" spans="1:18">
      <c r="A173" s="1" t="str">
        <f ca="1">IFERROR(__xludf.DUMMYFUNCTION("""COMPUTED_VALUE"""),"Salma Elkholy")</f>
        <v>Salma Elkholy</v>
      </c>
      <c r="B173" s="1" t="str">
        <f ca="1">IFERROR(__xludf.DUMMYFUNCTION("""COMPUTED_VALUE"""),"salmaelkholy86@gmail.com")</f>
        <v>salmaelkholy86@gmail.com</v>
      </c>
      <c r="C173" s="1">
        <f ca="1">IFERROR(__xludf.DUMMYFUNCTION("""COMPUTED_VALUE"""),201274976583)</f>
        <v>201274976583</v>
      </c>
      <c r="D173" s="1" t="str">
        <f ca="1">IFERROR(__xludf.DUMMYFUNCTION("""COMPUTED_VALUE"""),"Mansoura Elglaa ")</f>
        <v xml:space="preserve">Mansoura Elglaa </v>
      </c>
      <c r="E173" s="12" t="str">
        <f ca="1">IFERROR(__xludf.DUMMYFUNCTION("""COMPUTED_VALUE"""),"https://www.facebook.com/profile.php?id=100088736247916&amp;mibextid=ZbWKwL")</f>
        <v>https://www.facebook.com/profile.php?id=100088736247916&amp;mibextid=ZbWKwL</v>
      </c>
      <c r="F173" s="12" t="str">
        <f ca="1">IFERROR(__xludf.DUMMYFUNCTION("""COMPUTED_VALUE"""),"https://discord.gg/RU7vKS2e")</f>
        <v>https://discord.gg/RU7vKS2e</v>
      </c>
      <c r="G173" s="12" t="str">
        <f ca="1">IFERROR(__xludf.DUMMYFUNCTION("""COMPUTED_VALUE"""),"https://x.com/SalmaElkho13292")</f>
        <v>https://x.com/SalmaElkho13292</v>
      </c>
      <c r="H173" s="12" t="str">
        <f ca="1">IFERROR(__xludf.DUMMYFUNCTION("""COMPUTED_VALUE"""),"https://www.linkedin.com/in/salma-elkholy-6319392a5?utm_source=share&amp;utm_campaign=share_via&amp;utm_content=profile&amp;utm_medium=android_app")</f>
        <v>https://www.linkedin.com/in/salma-elkholy-6319392a5?utm_source=share&amp;utm_campaign=share_via&amp;utm_content=profile&amp;utm_medium=android_app</v>
      </c>
      <c r="I173" s="1"/>
      <c r="J173" s="1"/>
      <c r="K173" s="1" t="str">
        <f ca="1">IFERROR(__xludf.DUMMYFUNCTION("""COMPUTED_VALUE"""),"Mansoura University")</f>
        <v>Mansoura University</v>
      </c>
      <c r="L173" s="1"/>
      <c r="M173" s="1" t="str">
        <f ca="1">IFERROR(__xludf.DUMMYFUNCTION("""COMPUTED_VALUE"""),"Other")</f>
        <v>Other</v>
      </c>
      <c r="N173" s="1" t="str">
        <f ca="1">IFERROR(__xludf.DUMMYFUNCTION("""COMPUTED_VALUE"""),"Faculty of Tourism and Hotels")</f>
        <v>Faculty of Tourism and Hotels</v>
      </c>
      <c r="O173" s="1" t="str">
        <f ca="1">IFERROR(__xludf.DUMMYFUNCTION("""COMPUTED_VALUE"""),"2nd Year")</f>
        <v>2nd Year</v>
      </c>
      <c r="R173" s="1" t="s">
        <v>317</v>
      </c>
    </row>
    <row r="174" spans="1:18">
      <c r="A174" s="1" t="str">
        <f ca="1">IFERROR(__xludf.DUMMYFUNCTION("""COMPUTED_VALUE"""),"Mohamed Abdelaziz ")</f>
        <v xml:space="preserve">Mohamed Abdelaziz </v>
      </c>
      <c r="B174" s="1" t="str">
        <f ca="1">IFERROR(__xludf.DUMMYFUNCTION("""COMPUTED_VALUE"""),"mohamecabdelaziz66@gmail.com")</f>
        <v>mohamecabdelaziz66@gmail.com</v>
      </c>
      <c r="C174" s="1">
        <f ca="1">IFERROR(__xludf.DUMMYFUNCTION("""COMPUTED_VALUE"""),201060328954)</f>
        <v>201060328954</v>
      </c>
      <c r="D174" s="1" t="str">
        <f ca="1">IFERROR(__xludf.DUMMYFUNCTION("""COMPUTED_VALUE"""),"Baramoun, Mansoura, Egypt")</f>
        <v>Baramoun, Mansoura, Egypt</v>
      </c>
      <c r="E174" s="12" t="str">
        <f ca="1">IFERROR(__xludf.DUMMYFUNCTION("""COMPUTED_VALUE"""),"https://www.facebook.com/mohamed.abdelazizel?mibextid=ZbWKwL")</f>
        <v>https://www.facebook.com/mohamed.abdelazizel?mibextid=ZbWKwL</v>
      </c>
      <c r="F174" s="1" t="str">
        <f ca="1">IFERROR(__xludf.DUMMYFUNCTION("""COMPUTED_VALUE"""),"melgendy17")</f>
        <v>melgendy17</v>
      </c>
      <c r="G174" s="1"/>
      <c r="H174" s="12" t="str">
        <f ca="1">IFERROR(__xludf.DUMMYFUNCTION("""COMPUTED_VALUE"""),"https://www.linkedin.com/in/mohamed-abdelaziz-1abb56232?utm_source=share&amp;utm_campaign=share_via&amp;utm_content=profile&amp;utm_medium=android_app")</f>
        <v>https://www.linkedin.com/in/mohamed-abdelaziz-1abb56232?utm_source=share&amp;utm_campaign=share_via&amp;utm_content=profile&amp;utm_medium=android_app</v>
      </c>
      <c r="I174" s="12" t="str">
        <f ca="1">IFERROR(__xludf.DUMMYFUNCTION("""COMPUTED_VALUE"""),"https://github.com/MohamedAbdelaziz177")</f>
        <v>https://github.com/MohamedAbdelaziz177</v>
      </c>
      <c r="J174" s="1"/>
      <c r="K174" s="1" t="str">
        <f ca="1">IFERROR(__xludf.DUMMYFUNCTION("""COMPUTED_VALUE"""),"Mansoura University")</f>
        <v>Mansoura University</v>
      </c>
      <c r="L174" s="1"/>
      <c r="M174" s="1" t="str">
        <f ca="1">IFERROR(__xludf.DUMMYFUNCTION("""COMPUTED_VALUE"""),"Faculty of Engineering")</f>
        <v>Faculty of Engineering</v>
      </c>
      <c r="N174" s="1"/>
      <c r="O174" s="1" t="str">
        <f ca="1">IFERROR(__xludf.DUMMYFUNCTION("""COMPUTED_VALUE"""),"3rd Year")</f>
        <v>3rd Year</v>
      </c>
      <c r="R174" s="1" t="s">
        <v>27</v>
      </c>
    </row>
    <row r="175" spans="1:18">
      <c r="A175" s="1" t="str">
        <f ca="1">IFERROR(__xludf.DUMMYFUNCTION("""COMPUTED_VALUE"""),"Mohamed")</f>
        <v>Mohamed</v>
      </c>
      <c r="B175" s="1" t="str">
        <f ca="1">IFERROR(__xludf.DUMMYFUNCTION("""COMPUTED_VALUE"""),"mohamedmagdy990900@gmail.com")</f>
        <v>mohamedmagdy990900@gmail.com</v>
      </c>
      <c r="C175" s="1">
        <f ca="1">IFERROR(__xludf.DUMMYFUNCTION("""COMPUTED_VALUE"""),201096770442)</f>
        <v>201096770442</v>
      </c>
      <c r="D175" s="1" t="str">
        <f ca="1">IFERROR(__xludf.DUMMYFUNCTION("""COMPUTED_VALUE"""),"Mansoura")</f>
        <v>Mansoura</v>
      </c>
      <c r="E175" s="12" t="str">
        <f ca="1">IFERROR(__xludf.DUMMYFUNCTION("""COMPUTED_VALUE"""),"https://www.facebook.com/profile.php?id=100094768422355")</f>
        <v>https://www.facebook.com/profile.php?id=100094768422355</v>
      </c>
      <c r="F175" s="1" t="str">
        <f ca="1">IFERROR(__xludf.DUMMYFUNCTION("""COMPUTED_VALUE"""),"Mohamed_Magdy7")</f>
        <v>Mohamed_Magdy7</v>
      </c>
      <c r="G175" s="1"/>
      <c r="H175" s="1"/>
      <c r="I175" s="1"/>
      <c r="J175" s="12" t="str">
        <f ca="1">IFERROR(__xludf.DUMMYFUNCTION("""COMPUTED_VALUE"""),"https://www.behance.net/mohamedmagdy581")</f>
        <v>https://www.behance.net/mohamedmagdy581</v>
      </c>
      <c r="K175" s="1" t="str">
        <f ca="1">IFERROR(__xludf.DUMMYFUNCTION("""COMPUTED_VALUE"""),"Mansoura University")</f>
        <v>Mansoura University</v>
      </c>
      <c r="L175" s="1"/>
      <c r="M175" s="1" t="str">
        <f ca="1">IFERROR(__xludf.DUMMYFUNCTION("""COMPUTED_VALUE"""),"Faculty of Computer &amp; Information Science")</f>
        <v>Faculty of Computer &amp; Information Science</v>
      </c>
      <c r="N175" s="1"/>
      <c r="O175" s="1" t="str">
        <f ca="1">IFERROR(__xludf.DUMMYFUNCTION("""COMPUTED_VALUE"""),"2nd Year")</f>
        <v>2nd Year</v>
      </c>
      <c r="R175" s="1" t="s">
        <v>318</v>
      </c>
    </row>
    <row r="176" spans="1:18">
      <c r="A176" s="1" t="str">
        <f ca="1">IFERROR(__xludf.DUMMYFUNCTION("""COMPUTED_VALUE"""),"Yasmin hassan Hassan salah hamouda")</f>
        <v>Yasmin hassan Hassan salah hamouda</v>
      </c>
      <c r="B176" s="1" t="str">
        <f ca="1">IFERROR(__xludf.DUMMYFUNCTION("""COMPUTED_VALUE"""),"magnonetelteb@gmail.com")</f>
        <v>magnonetelteb@gmail.com</v>
      </c>
      <c r="C176" s="1">
        <f ca="1">IFERROR(__xludf.DUMMYFUNCTION("""COMPUTED_VALUE"""),201022430842)</f>
        <v>201022430842</v>
      </c>
      <c r="D176" s="1" t="str">
        <f ca="1">IFERROR(__xludf.DUMMYFUNCTION("""COMPUTED_VALUE"""),"برهام")</f>
        <v>برهام</v>
      </c>
      <c r="E176" s="12" t="str">
        <f ca="1">IFERROR(__xludf.DUMMYFUNCTION("""COMPUTED_VALUE"""),"https://www.facebook.com/profile.php?id=100073416367328&amp;mibextid=ZbWKwL")</f>
        <v>https://www.facebook.com/profile.php?id=100073416367328&amp;mibextid=ZbWKwL</v>
      </c>
      <c r="F176" s="1" t="str">
        <f ca="1">IFERROR(__xludf.DUMMYFUNCTION("""COMPUTED_VALUE"""),"don't have ")</f>
        <v xml:space="preserve">don't have </v>
      </c>
      <c r="G176" s="1"/>
      <c r="H176" s="12" t="str">
        <f ca="1">IFERROR(__xludf.DUMMYFUNCTION("""COMPUTED_VALUE"""),"https://www.linkedin.com/in/yasmin-hassan-267891252?utm_source=share&amp;utm_campaign=share_via&amp;utm_content=profile&amp;utm_medium=android_app")</f>
        <v>https://www.linkedin.com/in/yasmin-hassan-267891252?utm_source=share&amp;utm_campaign=share_via&amp;utm_content=profile&amp;utm_medium=android_app</v>
      </c>
      <c r="I176" s="1"/>
      <c r="J176" s="1"/>
      <c r="K176" s="1" t="str">
        <f ca="1">IFERROR(__xludf.DUMMYFUNCTION("""COMPUTED_VALUE"""),"Mansoura University")</f>
        <v>Mansoura University</v>
      </c>
      <c r="L176" s="1"/>
      <c r="M176" s="1" t="str">
        <f ca="1">IFERROR(__xludf.DUMMYFUNCTION("""COMPUTED_VALUE"""),"Other")</f>
        <v>Other</v>
      </c>
      <c r="N176" s="1" t="str">
        <f ca="1">IFERROR(__xludf.DUMMYFUNCTION("""COMPUTED_VALUE"""),"faculty of Specific Education ")</f>
        <v xml:space="preserve">faculty of Specific Education </v>
      </c>
      <c r="O176" s="1" t="str">
        <f ca="1">IFERROR(__xludf.DUMMYFUNCTION("""COMPUTED_VALUE"""),"3rd Year")</f>
        <v>3rd Year</v>
      </c>
      <c r="R176" s="1" t="s">
        <v>319</v>
      </c>
    </row>
    <row r="177" spans="1:18">
      <c r="A177" s="1" t="str">
        <f ca="1">IFERROR(__xludf.DUMMYFUNCTION("""COMPUTED_VALUE"""),"Ebrahim Yasser Aziz")</f>
        <v>Ebrahim Yasser Aziz</v>
      </c>
      <c r="B177" s="1" t="str">
        <f ca="1">IFERROR(__xludf.DUMMYFUNCTION("""COMPUTED_VALUE"""),"yasserelmorsy520@gmail.com")</f>
        <v>yasserelmorsy520@gmail.com</v>
      </c>
      <c r="C177" s="1">
        <f ca="1">IFERROR(__xludf.DUMMYFUNCTION("""COMPUTED_VALUE"""),201069509462)</f>
        <v>201069509462</v>
      </c>
      <c r="D177" s="1" t="str">
        <f ca="1">IFERROR(__xludf.DUMMYFUNCTION("""COMPUTED_VALUE"""),"yasserelmorsy520@gmail.com")</f>
        <v>yasserelmorsy520@gmail.com</v>
      </c>
      <c r="E177" s="12" t="str">
        <f ca="1">IFERROR(__xludf.DUMMYFUNCTION("""COMPUTED_VALUE"""),"https://www.facebook.com/ebrahim.yasser.7161?mibextid=ZbWKwL")</f>
        <v>https://www.facebook.com/ebrahim.yasser.7161?mibextid=ZbWKwL</v>
      </c>
      <c r="F177" s="1" t="str">
        <f ca="1">IFERROR(__xludf.DUMMYFUNCTION("""COMPUTED_VALUE"""),"ebrahimyasserr")</f>
        <v>ebrahimyasserr</v>
      </c>
      <c r="G177" s="1"/>
      <c r="H177" s="12" t="str">
        <f ca="1">IFERROR(__xludf.DUMMYFUNCTION("""COMPUTED_VALUE"""),"https://www.linkedin.com/in/ebrahim-yasser-567223337/?lipi=urn%3Ali%3Apage%3Ad_flagship3_profile_view_base%3BrhdTa%2BSBTgeu33iBsHlZGA%3D%3D")</f>
        <v>https://www.linkedin.com/in/ebrahim-yasser-567223337/?lipi=urn%3Ali%3Apage%3Ad_flagship3_profile_view_base%3BrhdTa%2BSBTgeu33iBsHlZGA%3D%3D</v>
      </c>
      <c r="I177" s="1"/>
      <c r="J177" s="1"/>
      <c r="K177" s="1" t="str">
        <f ca="1">IFERROR(__xludf.DUMMYFUNCTION("""COMPUTED_VALUE"""),"Mansoura University")</f>
        <v>Mansoura University</v>
      </c>
      <c r="L177" s="1"/>
      <c r="M177" s="1" t="str">
        <f ca="1">IFERROR(__xludf.DUMMYFUNCTION("""COMPUTED_VALUE"""),"Faculty of Computer &amp; Information Science")</f>
        <v>Faculty of Computer &amp; Information Science</v>
      </c>
      <c r="N177" s="1"/>
      <c r="O177" s="1" t="str">
        <f ca="1">IFERROR(__xludf.DUMMYFUNCTION("""COMPUTED_VALUE"""),"1st Year")</f>
        <v>1st Year</v>
      </c>
      <c r="R177" s="1" t="s">
        <v>320</v>
      </c>
    </row>
    <row r="178" spans="1:18">
      <c r="A178" s="1" t="str">
        <f ca="1">IFERROR(__xludf.DUMMYFUNCTION("""COMPUTED_VALUE"""),"kareem alaa khalifa")</f>
        <v>kareem alaa khalifa</v>
      </c>
      <c r="B178" s="1" t="str">
        <f ca="1">IFERROR(__xludf.DUMMYFUNCTION("""COMPUTED_VALUE"""),"kareemalaa162003@gmail.com")</f>
        <v>kareemalaa162003@gmail.com</v>
      </c>
      <c r="C178" s="1">
        <f ca="1">IFERROR(__xludf.DUMMYFUNCTION("""COMPUTED_VALUE"""),201202569339)</f>
        <v>201202569339</v>
      </c>
      <c r="D178" s="1" t="str">
        <f ca="1">IFERROR(__xludf.DUMMYFUNCTION("""COMPUTED_VALUE"""),"gharbiya - elmahlla elkobra")</f>
        <v>gharbiya - elmahlla elkobra</v>
      </c>
      <c r="E178" s="12" t="str">
        <f ca="1">IFERROR(__xludf.DUMMYFUNCTION("""COMPUTED_VALUE"""),"https://www.facebook.com/kareem.alaa.5055?mibextid=ZbWKwL")</f>
        <v>https://www.facebook.com/kareem.alaa.5055?mibextid=ZbWKwL</v>
      </c>
      <c r="F178" s="1" t="str">
        <f ca="1">IFERROR(__xludf.DUMMYFUNCTION("""COMPUTED_VALUE"""),"k0ks21")</f>
        <v>k0ks21</v>
      </c>
      <c r="G178" s="12" t="str">
        <f ca="1">IFERROR(__xludf.DUMMYFUNCTION("""COMPUTED_VALUE"""),"https://x.com/koks162003?t=G0AmRlQCDBdB1oyiYFGnOw&amp;s=09")</f>
        <v>https://x.com/koks162003?t=G0AmRlQCDBdB1oyiYFGnOw&amp;s=09</v>
      </c>
      <c r="H178" s="12" t="str">
        <f ca="1">IFERROR(__xludf.DUMMYFUNCTION("""COMPUTED_VALUE"""),"https://www.linkedin.com/in/koks7?utm_source=share&amp;utm_campaign=share_via&amp;utm_content=profile&amp;utm_medium=android_app")</f>
        <v>https://www.linkedin.com/in/koks7?utm_source=share&amp;utm_campaign=share_via&amp;utm_content=profile&amp;utm_medium=android_app</v>
      </c>
      <c r="I178" s="12" t="str">
        <f ca="1">IFERROR(__xludf.DUMMYFUNCTION("""COMPUTED_VALUE"""),"https://github.com/Kokss7")</f>
        <v>https://github.com/Kokss7</v>
      </c>
      <c r="J178" s="1"/>
      <c r="K178" s="1" t="str">
        <f ca="1">IFERROR(__xludf.DUMMYFUNCTION("""COMPUTED_VALUE"""),"Mansoura University")</f>
        <v>Mansoura University</v>
      </c>
      <c r="L178" s="1"/>
      <c r="M178" s="1" t="str">
        <f ca="1">IFERROR(__xludf.DUMMYFUNCTION("""COMPUTED_VALUE"""),"Faculty of Science")</f>
        <v>Faculty of Science</v>
      </c>
      <c r="N178" s="1"/>
      <c r="O178" s="1" t="str">
        <f ca="1">IFERROR(__xludf.DUMMYFUNCTION("""COMPUTED_VALUE"""),"4th Year")</f>
        <v>4th Year</v>
      </c>
      <c r="R178" s="1" t="s">
        <v>321</v>
      </c>
    </row>
    <row r="179" spans="1:18">
      <c r="A179" s="1" t="str">
        <f ca="1">IFERROR(__xludf.DUMMYFUNCTION("""COMPUTED_VALUE"""),"Loai Mohamed Abdelmaksoud Elmesiry")</f>
        <v>Loai Mohamed Abdelmaksoud Elmesiry</v>
      </c>
      <c r="B179" s="1" t="str">
        <f ca="1">IFERROR(__xludf.DUMMYFUNCTION("""COMPUTED_VALUE"""),"loailoka62@gmail.com")</f>
        <v>loailoka62@gmail.com</v>
      </c>
      <c r="C179" s="1">
        <f ca="1">IFERROR(__xludf.DUMMYFUNCTION("""COMPUTED_VALUE"""),20155959604)</f>
        <v>20155959604</v>
      </c>
      <c r="D179" s="1" t="str">
        <f ca="1">IFERROR(__xludf.DUMMYFUNCTION("""COMPUTED_VALUE"""),"Elmahalla Ekubra ")</f>
        <v xml:space="preserve">Elmahalla Ekubra </v>
      </c>
      <c r="E179" s="12" t="str">
        <f ca="1">IFERROR(__xludf.DUMMYFUNCTION("""COMPUTED_VALUE"""),"https://www.facebook.com/LoaiMohamed62/")</f>
        <v>https://www.facebook.com/LoaiMohamed62/</v>
      </c>
      <c r="F179" s="12" t="str">
        <f ca="1">IFERROR(__xludf.DUMMYFUNCTION("""COMPUTED_VALUE"""),"discord.com/channels/@me")</f>
        <v>discord.com/channels/@me</v>
      </c>
      <c r="G179" s="12" t="str">
        <f ca="1">IFERROR(__xludf.DUMMYFUNCTION("""COMPUTED_VALUE"""),"https://x.com/Loai_Mohameddd")</f>
        <v>https://x.com/Loai_Mohameddd</v>
      </c>
      <c r="H179" s="12" t="str">
        <f ca="1">IFERROR(__xludf.DUMMYFUNCTION("""COMPUTED_VALUE"""),"https://www.linkedin.com/in/loaimohameddd/")</f>
        <v>https://www.linkedin.com/in/loaimohameddd/</v>
      </c>
      <c r="I179" s="12" t="str">
        <f ca="1">IFERROR(__xludf.DUMMYFUNCTION("""COMPUTED_VALUE"""),"https://github.com/LoaiMohamedd")</f>
        <v>https://github.com/LoaiMohamedd</v>
      </c>
      <c r="J179" s="1"/>
      <c r="K179" s="1" t="str">
        <f ca="1">IFERROR(__xludf.DUMMYFUNCTION("""COMPUTED_VALUE"""),"Mansoura University")</f>
        <v>Mansoura University</v>
      </c>
      <c r="L179" s="1"/>
      <c r="M179" s="1" t="str">
        <f ca="1">IFERROR(__xludf.DUMMYFUNCTION("""COMPUTED_VALUE"""),"Faculty of Science")</f>
        <v>Faculty of Science</v>
      </c>
      <c r="N179" s="1"/>
      <c r="O179" s="1" t="str">
        <f ca="1">IFERROR(__xludf.DUMMYFUNCTION("""COMPUTED_VALUE"""),"4th Year")</f>
        <v>4th Year</v>
      </c>
      <c r="R179" s="1" t="s">
        <v>322</v>
      </c>
    </row>
    <row r="180" spans="1:18">
      <c r="A180" s="1" t="str">
        <f ca="1">IFERROR(__xludf.DUMMYFUNCTION("""COMPUTED_VALUE"""),"Mohammed Rafat")</f>
        <v>Mohammed Rafat</v>
      </c>
      <c r="B180" s="1" t="str">
        <f ca="1">IFERROR(__xludf.DUMMYFUNCTION("""COMPUTED_VALUE"""),"rafatz760@gmail.com")</f>
        <v>rafatz760@gmail.com</v>
      </c>
      <c r="C180" s="1">
        <f ca="1">IFERROR(__xludf.DUMMYFUNCTION("""COMPUTED_VALUE"""),201025824581)</f>
        <v>201025824581</v>
      </c>
      <c r="D180" s="1" t="str">
        <f ca="1">IFERROR(__xludf.DUMMYFUNCTION("""COMPUTED_VALUE"""),"Mansoura")</f>
        <v>Mansoura</v>
      </c>
      <c r="E180" s="12" t="str">
        <f ca="1">IFERROR(__xludf.DUMMYFUNCTION("""COMPUTED_VALUE"""),"https://www.facebook.com/profile.php?id=100068554088751&amp;locale=ar_AR")</f>
        <v>https://www.facebook.com/profile.php?id=100068554088751&amp;locale=ar_AR</v>
      </c>
      <c r="F180" s="1" t="str">
        <f ca="1">IFERROR(__xludf.DUMMYFUNCTION("""COMPUTED_VALUE"""),"12_8mohammed_77470")</f>
        <v>12_8mohammed_77470</v>
      </c>
      <c r="G180" s="1"/>
      <c r="H180" s="1"/>
      <c r="I180" s="1"/>
      <c r="J180" s="1"/>
      <c r="K180" s="1" t="str">
        <f ca="1">IFERROR(__xludf.DUMMYFUNCTION("""COMPUTED_VALUE"""),"Mansoura University")</f>
        <v>Mansoura University</v>
      </c>
      <c r="L180" s="1"/>
      <c r="M180" s="1" t="str">
        <f ca="1">IFERROR(__xludf.DUMMYFUNCTION("""COMPUTED_VALUE"""),"Faculty of Computer &amp; Information Science")</f>
        <v>Faculty of Computer &amp; Information Science</v>
      </c>
      <c r="N180" s="1"/>
      <c r="O180" s="1" t="str">
        <f ca="1">IFERROR(__xludf.DUMMYFUNCTION("""COMPUTED_VALUE"""),"2nd Year")</f>
        <v>2nd Year</v>
      </c>
      <c r="R180" s="1" t="s">
        <v>0</v>
      </c>
    </row>
    <row r="181" spans="1:18">
      <c r="A181" s="1" t="str">
        <f ca="1">IFERROR(__xludf.DUMMYFUNCTION("""COMPUTED_VALUE"""),"يوسف محمد شعبان ")</f>
        <v xml:space="preserve">يوسف محمد شعبان </v>
      </c>
      <c r="B181" s="1" t="str">
        <f ca="1">IFERROR(__xludf.DUMMYFUNCTION("""COMPUTED_VALUE"""),"wewewe1551@gmail.com")</f>
        <v>wewewe1551@gmail.com</v>
      </c>
      <c r="C181" s="1">
        <f ca="1">IFERROR(__xludf.DUMMYFUNCTION("""COMPUTED_VALUE"""),201062653834)</f>
        <v>201062653834</v>
      </c>
      <c r="D181" s="1" t="str">
        <f ca="1">IFERROR(__xludf.DUMMYFUNCTION("""COMPUTED_VALUE"""),"المنصورة الزعفران بجانب بوابة توشكا ")</f>
        <v xml:space="preserve">المنصورة الزعفران بجانب بوابة توشكا </v>
      </c>
      <c r="E181" s="12" t="str">
        <f ca="1">IFERROR(__xludf.DUMMYFUNCTION("""COMPUTED_VALUE"""),"https://www.facebook.com/profile.php?id=100010739911830")</f>
        <v>https://www.facebook.com/profile.php?id=100010739911830</v>
      </c>
      <c r="F181" s="1" t="str">
        <f ca="1">IFERROR(__xludf.DUMMYFUNCTION("""COMPUTED_VALUE"""),"yousef1551#0")</f>
        <v>yousef1551#0</v>
      </c>
      <c r="G181" s="12" t="str">
        <f ca="1">IFERROR(__xludf.DUMMYFUNCTION("""COMPUTED_VALUE"""),"https://x.com/YousefM00344745")</f>
        <v>https://x.com/YousefM00344745</v>
      </c>
      <c r="H181" s="12" t="str">
        <f ca="1">IFERROR(__xludf.DUMMYFUNCTION("""COMPUTED_VALUE"""),"https://www.linkedin.com/in/yousef-mohamed-110b92319?utm_source=share&amp;utm_campaign=share_via&amp;utm_content=profile&amp;utm_medium=android_app")</f>
        <v>https://www.linkedin.com/in/yousef-mohamed-110b92319?utm_source=share&amp;utm_campaign=share_via&amp;utm_content=profile&amp;utm_medium=android_app</v>
      </c>
      <c r="I181" s="12" t="str">
        <f ca="1">IFERROR(__xludf.DUMMYFUNCTION("""COMPUTED_VALUE"""),"https://github.com/Yousef-Sh3ban")</f>
        <v>https://github.com/Yousef-Sh3ban</v>
      </c>
      <c r="J181" s="1"/>
      <c r="K181" s="1" t="str">
        <f ca="1">IFERROR(__xludf.DUMMYFUNCTION("""COMPUTED_VALUE"""),"Mansoura University")</f>
        <v>Mansoura University</v>
      </c>
      <c r="L181" s="1"/>
      <c r="M181" s="1" t="str">
        <f ca="1">IFERROR(__xludf.DUMMYFUNCTION("""COMPUTED_VALUE"""),"Faculty of Computer &amp; Information Science")</f>
        <v>Faculty of Computer &amp; Information Science</v>
      </c>
      <c r="N181" s="1"/>
      <c r="O181" s="1" t="str">
        <f ca="1">IFERROR(__xludf.DUMMYFUNCTION("""COMPUTED_VALUE"""),"2nd Year")</f>
        <v>2nd Year</v>
      </c>
      <c r="R181" s="1" t="s">
        <v>323</v>
      </c>
    </row>
    <row r="182" spans="1:18">
      <c r="A182" s="1" t="str">
        <f ca="1">IFERROR(__xludf.DUMMYFUNCTION("""COMPUTED_VALUE"""),"Ibrahim reda Elshabrawy ")</f>
        <v xml:space="preserve">Ibrahim reda Elshabrawy </v>
      </c>
      <c r="B182" s="1" t="str">
        <f ca="1">IFERROR(__xludf.DUMMYFUNCTION("""COMPUTED_VALUE"""),"Ibrahimshabra11@gmail.com")</f>
        <v>Ibrahimshabra11@gmail.com</v>
      </c>
      <c r="C182" s="1">
        <f ca="1">IFERROR(__xludf.DUMMYFUNCTION("""COMPUTED_VALUE"""),201027272741)</f>
        <v>201027272741</v>
      </c>
      <c r="D182" s="1" t="str">
        <f ca="1">IFERROR(__xludf.DUMMYFUNCTION("""COMPUTED_VALUE"""),"ش قناة السويس المنصورة")</f>
        <v>ش قناة السويس المنصورة</v>
      </c>
      <c r="E182" s="12" t="str">
        <f ca="1">IFERROR(__xludf.DUMMYFUNCTION("""COMPUTED_VALUE"""),"https://www.facebook.com/share/15EdgTE8gd/")</f>
        <v>https://www.facebook.com/share/15EdgTE8gd/</v>
      </c>
      <c r="F182" s="1" t="str">
        <f ca="1">IFERROR(__xludf.DUMMYFUNCTION("""COMPUTED_VALUE"""),"ibrahimelshabrawy ")</f>
        <v xml:space="preserve">ibrahimelshabrawy </v>
      </c>
      <c r="G182" s="12" t="str">
        <f ca="1">IFERROR(__xludf.DUMMYFUNCTION("""COMPUTED_VALUE"""),"https://x.com/ibrahimshabra11?t=W8WD4LjYHHNGt0e2DBnzvw&amp;s=09")</f>
        <v>https://x.com/ibrahimshabra11?t=W8WD4LjYHHNGt0e2DBnzvw&amp;s=09</v>
      </c>
      <c r="H182" s="12" t="str">
        <f ca="1">IFERROR(__xludf.DUMMYFUNCTION("""COMPUTED_VALUE"""),"https://www.linkedin.com/in/ibrahim-elshabrawy-b8a9492aa?utm_source=share&amp;utm_campaign=share_via&amp;utm_content=profile&amp;utm_medium=android_app")</f>
        <v>https://www.linkedin.com/in/ibrahim-elshabrawy-b8a9492aa?utm_source=share&amp;utm_campaign=share_via&amp;utm_content=profile&amp;utm_medium=android_app</v>
      </c>
      <c r="I182" s="12" t="str">
        <f ca="1">IFERROR(__xludf.DUMMYFUNCTION("""COMPUTED_VALUE"""),"https://github.com/Ibrahimelshabrawy")</f>
        <v>https://github.com/Ibrahimelshabrawy</v>
      </c>
      <c r="J182" s="12" t="str">
        <f ca="1">IFERROR(__xludf.DUMMYFUNCTION("""COMPUTED_VALUE"""),"https://www.behance.net/ibrahimelshabr")</f>
        <v>https://www.behance.net/ibrahimelshabr</v>
      </c>
      <c r="K182" s="1" t="str">
        <f ca="1">IFERROR(__xludf.DUMMYFUNCTION("""COMPUTED_VALUE"""),"Mansoura University")</f>
        <v>Mansoura University</v>
      </c>
      <c r="L182" s="1"/>
      <c r="M182" s="1" t="str">
        <f ca="1">IFERROR(__xludf.DUMMYFUNCTION("""COMPUTED_VALUE"""),"Faculty of Computer &amp; Information Science")</f>
        <v>Faculty of Computer &amp; Information Science</v>
      </c>
      <c r="N182" s="1"/>
      <c r="O182" s="1" t="str">
        <f ca="1">IFERROR(__xludf.DUMMYFUNCTION("""COMPUTED_VALUE"""),"2nd Year")</f>
        <v>2nd Year</v>
      </c>
      <c r="R182" s="1" t="s">
        <v>324</v>
      </c>
    </row>
    <row r="183" spans="1:18">
      <c r="A183" s="1" t="str">
        <f ca="1">IFERROR(__xludf.DUMMYFUNCTION("""COMPUTED_VALUE"""),"Mostafa Abou_Elnaga ")</f>
        <v xml:space="preserve">Mostafa Abou_Elnaga </v>
      </c>
      <c r="B183" s="1" t="str">
        <f ca="1">IFERROR(__xludf.DUMMYFUNCTION("""COMPUTED_VALUE"""),"ezz36535@gmail.com")</f>
        <v>ezz36535@gmail.com</v>
      </c>
      <c r="C183" s="1">
        <f ca="1">IFERROR(__xludf.DUMMYFUNCTION("""COMPUTED_VALUE"""),201029023742)</f>
        <v>201029023742</v>
      </c>
      <c r="D183" s="1" t="str">
        <f ca="1">IFERROR(__xludf.DUMMYFUNCTION("""COMPUTED_VALUE"""),"Domiat el gidida")</f>
        <v>Domiat el gidida</v>
      </c>
      <c r="E183" s="12" t="str">
        <f ca="1">IFERROR(__xludf.DUMMYFUNCTION("""COMPUTED_VALUE"""),"https://www.facebook.com/mostafa.ezz.9275?mibextid=ZbWKwL")</f>
        <v>https://www.facebook.com/mostafa.ezz.9275?mibextid=ZbWKwL</v>
      </c>
      <c r="F183" s="1" t="str">
        <f ca="1">IFERROR(__xludf.DUMMYFUNCTION("""COMPUTED_VALUE"""),"mostafaezz0027")</f>
        <v>mostafaezz0027</v>
      </c>
      <c r="G183" s="12" t="str">
        <f ca="1">IFERROR(__xludf.DUMMYFUNCTION("""COMPUTED_VALUE"""),"https://x.com/Mostafa_ezz19?t=QY1jmjtyrihA-71xfiP1aA&amp;s=09")</f>
        <v>https://x.com/Mostafa_ezz19?t=QY1jmjtyrihA-71xfiP1aA&amp;s=09</v>
      </c>
      <c r="H183" s="12" t="str">
        <f ca="1">IFERROR(__xludf.DUMMYFUNCTION("""COMPUTED_VALUE"""),"https://www.linkedin.com/in/mostafa-ezz-0971232ba?utm_source=share&amp;utm_campaign=share_via&amp;utm_content=profile&amp;utm_medium=android_app")</f>
        <v>https://www.linkedin.com/in/mostafa-ezz-0971232ba?utm_source=share&amp;utm_campaign=share_via&amp;utm_content=profile&amp;utm_medium=android_app</v>
      </c>
      <c r="I183" s="1"/>
      <c r="J183" s="1"/>
      <c r="K183" s="1" t="str">
        <f ca="1">IFERROR(__xludf.DUMMYFUNCTION("""COMPUTED_VALUE"""),"Mansoura University")</f>
        <v>Mansoura University</v>
      </c>
      <c r="L183" s="1"/>
      <c r="M183" s="1" t="str">
        <f ca="1">IFERROR(__xludf.DUMMYFUNCTION("""COMPUTED_VALUE"""),"Faculty of Engineering")</f>
        <v>Faculty of Engineering</v>
      </c>
      <c r="N183" s="1"/>
      <c r="O183" s="1" t="str">
        <f ca="1">IFERROR(__xludf.DUMMYFUNCTION("""COMPUTED_VALUE"""),"2nd Year")</f>
        <v>2nd Year</v>
      </c>
      <c r="R183" s="1" t="s">
        <v>325</v>
      </c>
    </row>
    <row r="184" spans="1:18">
      <c r="A184" s="1" t="str">
        <f ca="1">IFERROR(__xludf.DUMMYFUNCTION("""COMPUTED_VALUE"""),"samy omar ")</f>
        <v xml:space="preserve">samy omar </v>
      </c>
      <c r="B184" s="1" t="str">
        <f ca="1">IFERROR(__xludf.DUMMYFUNCTION("""COMPUTED_VALUE"""),"samynoureldin@std.mans.edu.eg")</f>
        <v>samynoureldin@std.mans.edu.eg</v>
      </c>
      <c r="C184" s="1">
        <f ca="1">IFERROR(__xludf.DUMMYFUNCTION("""COMPUTED_VALUE"""),201204041530)</f>
        <v>201204041530</v>
      </c>
      <c r="D184" s="1" t="str">
        <f ca="1">IFERROR(__xludf.DUMMYFUNCTION("""COMPUTED_VALUE"""),"المنصورة - الزعفران")</f>
        <v>المنصورة - الزعفران</v>
      </c>
      <c r="E184" s="12" t="str">
        <f ca="1">IFERROR(__xludf.DUMMYFUNCTION("""COMPUTED_VALUE"""),"https://www.facebook.com/samy.omar.752?mibextid=ZbWKwL")</f>
        <v>https://www.facebook.com/samy.omar.752?mibextid=ZbWKwL</v>
      </c>
      <c r="F184" s="1" t="str">
        <f ca="1">IFERROR(__xludf.DUMMYFUNCTION("""COMPUTED_VALUE"""),"samyomar_10_02719")</f>
        <v>samyomar_10_02719</v>
      </c>
      <c r="G184" s="1"/>
      <c r="H184" s="12" t="str">
        <f ca="1">IFERROR(__xludf.DUMMYFUNCTION("""COMPUTED_VALUE"""),"https://www.linkedin.com/in/samy-omar-23206a295?lipi=urn%3Ali%3Apage%3Ad_flagship3_")</f>
        <v>https://www.linkedin.com/in/samy-omar-23206a295?lipi=urn%3Ali%3Apage%3Ad_flagship3_</v>
      </c>
      <c r="I184" s="12" t="str">
        <f ca="1">IFERROR(__xludf.DUMMYFUNCTION("""COMPUTED_VALUE"""),"https://github.com/SamyOmar-DS/samy-_-omar")</f>
        <v>https://github.com/SamyOmar-DS/samy-_-omar</v>
      </c>
      <c r="J184" s="1"/>
      <c r="K184" s="1" t="str">
        <f ca="1">IFERROR(__xludf.DUMMYFUNCTION("""COMPUTED_VALUE"""),"Mansoura University")</f>
        <v>Mansoura University</v>
      </c>
      <c r="L184" s="1"/>
      <c r="M184" s="1" t="str">
        <f ca="1">IFERROR(__xludf.DUMMYFUNCTION("""COMPUTED_VALUE"""),"Faculty of Science")</f>
        <v>Faculty of Science</v>
      </c>
      <c r="N184" s="1"/>
      <c r="O184" s="1" t="str">
        <f ca="1">IFERROR(__xludf.DUMMYFUNCTION("""COMPUTED_VALUE"""),"2nd Year")</f>
        <v>2nd Year</v>
      </c>
      <c r="R184" s="1" t="s">
        <v>326</v>
      </c>
    </row>
    <row r="185" spans="1:18">
      <c r="A185" s="1" t="str">
        <f ca="1">IFERROR(__xludf.DUMMYFUNCTION("""COMPUTED_VALUE"""),"omnia hossam eldein")</f>
        <v>omnia hossam eldein</v>
      </c>
      <c r="B185" s="1" t="str">
        <f ca="1">IFERROR(__xludf.DUMMYFUNCTION("""COMPUTED_VALUE"""),"omniaeng@hotmail.com")</f>
        <v>omniaeng@hotmail.com</v>
      </c>
      <c r="C185" s="1">
        <f ca="1">IFERROR(__xludf.DUMMYFUNCTION("""COMPUTED_VALUE"""),201025816404)</f>
        <v>201025816404</v>
      </c>
      <c r="D185" s="1" t="str">
        <f ca="1">IFERROR(__xludf.DUMMYFUNCTION("""COMPUTED_VALUE"""),"Mansourah ")</f>
        <v xml:space="preserve">Mansourah </v>
      </c>
      <c r="E185" s="12" t="str">
        <f ca="1">IFERROR(__xludf.DUMMYFUNCTION("""COMPUTED_VALUE"""),"https://www.facebook.com/omnia.hossam.1654700")</f>
        <v>https://www.facebook.com/omnia.hossam.1654700</v>
      </c>
      <c r="F185" s="1" t="str">
        <f ca="1">IFERROR(__xludf.DUMMYFUNCTION("""COMPUTED_VALUE"""),"omnia hossam")</f>
        <v>omnia hossam</v>
      </c>
      <c r="G185" s="1"/>
      <c r="H185" s="1"/>
      <c r="I185" s="12" t="str">
        <f ca="1">IFERROR(__xludf.DUMMYFUNCTION("""COMPUTED_VALUE"""),"https://github.com/omnia-hossam/desktop-tutorial.git")</f>
        <v>https://github.com/omnia-hossam/desktop-tutorial.git</v>
      </c>
      <c r="J185" s="1"/>
      <c r="K185" s="1" t="str">
        <f ca="1">IFERROR(__xludf.DUMMYFUNCTION("""COMPUTED_VALUE"""),"Mansoura University")</f>
        <v>Mansoura University</v>
      </c>
      <c r="L185" s="1"/>
      <c r="M185" s="1" t="str">
        <f ca="1">IFERROR(__xludf.DUMMYFUNCTION("""COMPUTED_VALUE"""),"Faculty of Computer &amp; Information Science")</f>
        <v>Faculty of Computer &amp; Information Science</v>
      </c>
      <c r="N185" s="1"/>
      <c r="O185" s="1" t="str">
        <f ca="1">IFERROR(__xludf.DUMMYFUNCTION("""COMPUTED_VALUE"""),"2nd Year")</f>
        <v>2nd Year</v>
      </c>
      <c r="R185" s="1" t="s">
        <v>327</v>
      </c>
    </row>
    <row r="186" spans="1:18">
      <c r="A186" s="1" t="str">
        <f ca="1">IFERROR(__xludf.DUMMYFUNCTION("""COMPUTED_VALUE"""),"Mohraeel George ")</f>
        <v xml:space="preserve">Mohraeel George </v>
      </c>
      <c r="B186" s="1" t="str">
        <f ca="1">IFERROR(__xludf.DUMMYFUNCTION("""COMPUTED_VALUE"""),"mohraeelgeorge10@gmail.com")</f>
        <v>mohraeelgeorge10@gmail.com</v>
      </c>
      <c r="C186" s="1">
        <f ca="1">IFERROR(__xludf.DUMMYFUNCTION("""COMPUTED_VALUE"""),201067630709)</f>
        <v>201067630709</v>
      </c>
      <c r="D186" s="1" t="str">
        <f ca="1">IFERROR(__xludf.DUMMYFUNCTION("""COMPUTED_VALUE"""),"mansoura")</f>
        <v>mansoura</v>
      </c>
      <c r="E186" s="12" t="str">
        <f ca="1">IFERROR(__xludf.DUMMYFUNCTION("""COMPUTED_VALUE"""),"https://www.facebook.com/share/1EE73quSG9/")</f>
        <v>https://www.facebook.com/share/1EE73quSG9/</v>
      </c>
      <c r="F186" s="1" t="str">
        <f ca="1">IFERROR(__xludf.DUMMYFUNCTION("""COMPUTED_VALUE"""),"  ")</f>
        <v xml:space="preserve">  </v>
      </c>
      <c r="G186" s="1"/>
      <c r="H186" s="12" t="str">
        <f ca="1">IFERROR(__xludf.DUMMYFUNCTION("""COMPUTED_VALUE"""),"https://www.linkedin.com/in/mohraeel-george-418519302?utm_source=share&amp;utm_campaign=share_via&amp;utm_content=profile&amp;utm_medium=android_app")</f>
        <v>https://www.linkedin.com/in/mohraeel-george-418519302?utm_source=share&amp;utm_campaign=share_via&amp;utm_content=profile&amp;utm_medium=android_app</v>
      </c>
      <c r="I186" s="1"/>
      <c r="J186" s="1"/>
      <c r="K186" s="1" t="str">
        <f ca="1">IFERROR(__xludf.DUMMYFUNCTION("""COMPUTED_VALUE"""),"Mansoura University")</f>
        <v>Mansoura University</v>
      </c>
      <c r="L186" s="1"/>
      <c r="M186" s="1" t="str">
        <f ca="1">IFERROR(__xludf.DUMMYFUNCTION("""COMPUTED_VALUE"""),"Faculty of Computer &amp; Information Science")</f>
        <v>Faculty of Computer &amp; Information Science</v>
      </c>
      <c r="N186" s="1"/>
      <c r="O186" s="1" t="str">
        <f ca="1">IFERROR(__xludf.DUMMYFUNCTION("""COMPUTED_VALUE"""),"2nd Year")</f>
        <v>2nd Year</v>
      </c>
      <c r="R186" s="1" t="s">
        <v>328</v>
      </c>
    </row>
    <row r="187" spans="1:18">
      <c r="A187" s="1" t="str">
        <f ca="1">IFERROR(__xludf.DUMMYFUNCTION("""COMPUTED_VALUE"""),"Eman Ahmed Gabr")</f>
        <v>Eman Ahmed Gabr</v>
      </c>
      <c r="B187" s="1" t="str">
        <f ca="1">IFERROR(__xludf.DUMMYFUNCTION("""COMPUTED_VALUE"""),"emangabr191@gmail.com")</f>
        <v>emangabr191@gmail.com</v>
      </c>
      <c r="C187" s="1">
        <f ca="1">IFERROR(__xludf.DUMMYFUNCTION("""COMPUTED_VALUE"""),201096894904)</f>
        <v>201096894904</v>
      </c>
      <c r="D187" s="1" t="str">
        <f ca="1">IFERROR(__xludf.DUMMYFUNCTION("""COMPUTED_VALUE"""),"Al-Dakahlia, Minyat Al-Nasr, Al-Kurdi City")</f>
        <v>Al-Dakahlia, Minyat Al-Nasr, Al-Kurdi City</v>
      </c>
      <c r="E187" s="12" t="str">
        <f ca="1">IFERROR(__xludf.DUMMYFUNCTION("""COMPUTED_VALUE"""),"https://www.facebook.com/eman.gabr.7311?mibextid=ZbWKwL")</f>
        <v>https://www.facebook.com/eman.gabr.7311?mibextid=ZbWKwL</v>
      </c>
      <c r="F187" s="1" t="str">
        <f ca="1">IFERROR(__xludf.DUMMYFUNCTION("""COMPUTED_VALUE"""),"emangabr.")</f>
        <v>emangabr.</v>
      </c>
      <c r="G187" s="12" t="str">
        <f ca="1">IFERROR(__xludf.DUMMYFUNCTION("""COMPUTED_VALUE"""),"https://x.com/emangabr53?t=RQ8aC-c-s1IXelOAO7LFQw&amp;s=09")</f>
        <v>https://x.com/emangabr53?t=RQ8aC-c-s1IXelOAO7LFQw&amp;s=09</v>
      </c>
      <c r="H187" s="12" t="str">
        <f ca="1">IFERROR(__xludf.DUMMYFUNCTION("""COMPUTED_VALUE"""),"https://www.linkedin.com/in/eman-gabr-714177324?utm_source=share&amp;utm_campaign=share_via&amp;utm_content=profile&amp;utm_medium=android_app")</f>
        <v>https://www.linkedin.com/in/eman-gabr-714177324?utm_source=share&amp;utm_campaign=share_via&amp;utm_content=profile&amp;utm_medium=android_app</v>
      </c>
      <c r="I187" s="12" t="str">
        <f ca="1">IFERROR(__xludf.DUMMYFUNCTION("""COMPUTED_VALUE"""),"https://github.com/Eman-Gabr25")</f>
        <v>https://github.com/Eman-Gabr25</v>
      </c>
      <c r="J187" s="12" t="str">
        <f ca="1">IFERROR(__xludf.DUMMYFUNCTION("""COMPUTED_VALUE"""),"https://www.behance.net/emangabr3")</f>
        <v>https://www.behance.net/emangabr3</v>
      </c>
      <c r="K187" s="1" t="str">
        <f ca="1">IFERROR(__xludf.DUMMYFUNCTION("""COMPUTED_VALUE"""),"Mansoura University")</f>
        <v>Mansoura University</v>
      </c>
      <c r="L187" s="1"/>
      <c r="M187" s="1" t="str">
        <f ca="1">IFERROR(__xludf.DUMMYFUNCTION("""COMPUTED_VALUE"""),"Faculty of Computer &amp; Information Science")</f>
        <v>Faculty of Computer &amp; Information Science</v>
      </c>
      <c r="N187" s="1"/>
      <c r="O187" s="1" t="str">
        <f ca="1">IFERROR(__xludf.DUMMYFUNCTION("""COMPUTED_VALUE"""),"2nd Year")</f>
        <v>2nd Year</v>
      </c>
      <c r="R187" s="1" t="s">
        <v>329</v>
      </c>
    </row>
    <row r="188" spans="1:18">
      <c r="A188" s="1" t="str">
        <f ca="1">IFERROR(__xludf.DUMMYFUNCTION("""COMPUTED_VALUE"""),"Yasmin Mohammed Mahmoud Radwan ")</f>
        <v xml:space="preserve">Yasmin Mohammed Mahmoud Radwan </v>
      </c>
      <c r="B188" s="1" t="str">
        <f ca="1">IFERROR(__xludf.DUMMYFUNCTION("""COMPUTED_VALUE"""),"yasminradwan79@gmail.com")</f>
        <v>yasminradwan79@gmail.com</v>
      </c>
      <c r="C188" s="1">
        <f ca="1">IFERROR(__xludf.DUMMYFUNCTION("""COMPUTED_VALUE"""),201011474516)</f>
        <v>201011474516</v>
      </c>
      <c r="D188" s="1" t="str">
        <f ca="1">IFERROR(__xludf.DUMMYFUNCTION("""COMPUTED_VALUE"""),"Mansoura , Sherbeine")</f>
        <v>Mansoura , Sherbeine</v>
      </c>
      <c r="E188" s="12" t="str">
        <f ca="1">IFERROR(__xludf.DUMMYFUNCTION("""COMPUTED_VALUE"""),"https://www.facebook.com/yasmin.radwan.79")</f>
        <v>https://www.facebook.com/yasmin.radwan.79</v>
      </c>
      <c r="F188" s="1" t="str">
        <f ca="1">IFERROR(__xludf.DUMMYFUNCTION("""COMPUTED_VALUE"""),"None")</f>
        <v>None</v>
      </c>
      <c r="G188" s="1"/>
      <c r="H188" s="12" t="str">
        <f ca="1">IFERROR(__xludf.DUMMYFUNCTION("""COMPUTED_VALUE"""),"https://www.linkedin.com/in/yasmin-mohammed-8356b4305?utm_source=share&amp;utm_campaign=share_via&amp;utm_content=profile&amp;utm_medium=ios_app")</f>
        <v>https://www.linkedin.com/in/yasmin-mohammed-8356b4305?utm_source=share&amp;utm_campaign=share_via&amp;utm_content=profile&amp;utm_medium=ios_app</v>
      </c>
      <c r="I188" s="1"/>
      <c r="J188" s="1"/>
      <c r="K188" s="1" t="str">
        <f ca="1">IFERROR(__xludf.DUMMYFUNCTION("""COMPUTED_VALUE"""),"Mansoura University")</f>
        <v>Mansoura University</v>
      </c>
      <c r="L188" s="1"/>
      <c r="M188" s="1" t="str">
        <f ca="1">IFERROR(__xludf.DUMMYFUNCTION("""COMPUTED_VALUE"""),"Faculty of Computer &amp; Information Science")</f>
        <v>Faculty of Computer &amp; Information Science</v>
      </c>
      <c r="N188" s="1"/>
      <c r="O188" s="1" t="str">
        <f ca="1">IFERROR(__xludf.DUMMYFUNCTION("""COMPUTED_VALUE"""),"2nd Year")</f>
        <v>2nd Year</v>
      </c>
      <c r="R188" s="1" t="s">
        <v>330</v>
      </c>
    </row>
    <row r="189" spans="1:18">
      <c r="A189" s="1" t="str">
        <f ca="1">IFERROR(__xludf.DUMMYFUNCTION("""COMPUTED_VALUE"""),"mazin alaa abdallah saleh elhadidy")</f>
        <v>mazin alaa abdallah saleh elhadidy</v>
      </c>
      <c r="B189" s="1" t="str">
        <f ca="1">IFERROR(__xludf.DUMMYFUNCTION("""COMPUTED_VALUE"""),"mazinelhadidyy@gmail.com")</f>
        <v>mazinelhadidyy@gmail.com</v>
      </c>
      <c r="C189" s="1">
        <f ca="1">IFERROR(__xludf.DUMMYFUNCTION("""COMPUTED_VALUE"""),201097862618)</f>
        <v>201097862618</v>
      </c>
      <c r="D189" s="1" t="str">
        <f ca="1">IFERROR(__xludf.DUMMYFUNCTION("""COMPUTED_VALUE"""),"Elmansoura Adab Street")</f>
        <v>Elmansoura Adab Street</v>
      </c>
      <c r="E189" s="12" t="str">
        <f ca="1">IFERROR(__xludf.DUMMYFUNCTION("""COMPUTED_VALUE"""),"https://www.facebook.com/mazin.alaa.965?mibextid=LQQJ4d")</f>
        <v>https://www.facebook.com/mazin.alaa.965?mibextid=LQQJ4d</v>
      </c>
      <c r="F189" s="1" t="str">
        <f ca="1">IFERROR(__xludf.DUMMYFUNCTION("""COMPUTED_VALUE"""),"mazin_elhadidy")</f>
        <v>mazin_elhadidy</v>
      </c>
      <c r="G189" s="1"/>
      <c r="H189" s="1"/>
      <c r="I189" s="1"/>
      <c r="J189" s="1"/>
      <c r="K189" s="1" t="str">
        <f ca="1">IFERROR(__xludf.DUMMYFUNCTION("""COMPUTED_VALUE"""),"Mansoura University")</f>
        <v>Mansoura University</v>
      </c>
      <c r="L189" s="1"/>
      <c r="M189" s="1" t="str">
        <f ca="1">IFERROR(__xludf.DUMMYFUNCTION("""COMPUTED_VALUE"""),"Faculty of Computer &amp; Information Science")</f>
        <v>Faculty of Computer &amp; Information Science</v>
      </c>
      <c r="N189" s="1"/>
      <c r="O189" s="1" t="str">
        <f ca="1">IFERROR(__xludf.DUMMYFUNCTION("""COMPUTED_VALUE"""),"2nd Year")</f>
        <v>2nd Year</v>
      </c>
      <c r="R189" s="1" t="s">
        <v>25</v>
      </c>
    </row>
    <row r="190" spans="1:18">
      <c r="A190" s="1" t="str">
        <f ca="1">IFERROR(__xludf.DUMMYFUNCTION("""COMPUTED_VALUE"""),"Omar ahmed adel ali")</f>
        <v>Omar ahmed adel ali</v>
      </c>
      <c r="B190" s="1" t="str">
        <f ca="1">IFERROR(__xludf.DUMMYFUNCTION("""COMPUTED_VALUE"""),"omarahmedhr2@gmail.com")</f>
        <v>omarahmedhr2@gmail.com</v>
      </c>
      <c r="C190" s="1">
        <f ca="1">IFERROR(__xludf.DUMMYFUNCTION("""COMPUTED_VALUE"""),201202673908)</f>
        <v>201202673908</v>
      </c>
      <c r="D190" s="1" t="str">
        <f ca="1">IFERROR(__xludf.DUMMYFUNCTION("""COMPUTED_VALUE"""),"Dakahliyah / Nabaroh")</f>
        <v>Dakahliyah / Nabaroh</v>
      </c>
      <c r="E190" s="12" t="str">
        <f ca="1">IFERROR(__xludf.DUMMYFUNCTION("""COMPUTED_VALUE"""),"https://www.facebook.com/profile.php?id=100025116093970&amp;mibextid=ZbWKwL")</f>
        <v>https://www.facebook.com/profile.php?id=100025116093970&amp;mibextid=ZbWKwL</v>
      </c>
      <c r="F190" s="1" t="str">
        <f ca="1">IFERROR(__xludf.DUMMYFUNCTION("""COMPUTED_VALUE"""),"omar_a7med8")</f>
        <v>omar_a7med8</v>
      </c>
      <c r="G190" s="12" t="str">
        <f ca="1">IFERROR(__xludf.DUMMYFUNCTION("""COMPUTED_VALUE"""),"https://x.com/Omar2015790?t=2UqOIxTrjCk5pw_XdZedIA&amp;s=09")</f>
        <v>https://x.com/Omar2015790?t=2UqOIxTrjCk5pw_XdZedIA&amp;s=09</v>
      </c>
      <c r="H190" s="12" t="str">
        <f ca="1">IFERROR(__xludf.DUMMYFUNCTION("""COMPUTED_VALUE"""),"https://www.linkedin.com/in/omar-ahmed-84304b326?utm_source=share&amp;utm_campaign=share_via&amp;utm_content=profile&amp;utm_medium=android_app")</f>
        <v>https://www.linkedin.com/in/omar-ahmed-84304b326?utm_source=share&amp;utm_campaign=share_via&amp;utm_content=profile&amp;utm_medium=android_app</v>
      </c>
      <c r="I190" s="12" t="str">
        <f ca="1">IFERROR(__xludf.DUMMYFUNCTION("""COMPUTED_VALUE"""),"https://github.com/Omar-A7med#:~:text=Repositories-,Omar%2DA7med,-Set%20status")</f>
        <v>https://github.com/Omar-A7med#:~:text=Repositories-,Omar%2DA7med,-Set%20status</v>
      </c>
      <c r="J190" s="12" t="str">
        <f ca="1">IFERROR(__xludf.DUMMYFUNCTION("""COMPUTED_VALUE"""),"https://www.behance.net/omarahmed728")</f>
        <v>https://www.behance.net/omarahmed728</v>
      </c>
      <c r="K190" s="1" t="str">
        <f ca="1">IFERROR(__xludf.DUMMYFUNCTION("""COMPUTED_VALUE"""),"Mansoura University")</f>
        <v>Mansoura University</v>
      </c>
      <c r="L190" s="1"/>
      <c r="M190" s="1" t="str">
        <f ca="1">IFERROR(__xludf.DUMMYFUNCTION("""COMPUTED_VALUE"""),"Faculty of Computer &amp; Information Science")</f>
        <v>Faculty of Computer &amp; Information Science</v>
      </c>
      <c r="N190" s="1"/>
      <c r="O190" s="1" t="str">
        <f ca="1">IFERROR(__xludf.DUMMYFUNCTION("""COMPUTED_VALUE"""),"2nd Year")</f>
        <v>2nd Year</v>
      </c>
      <c r="R190" s="1" t="s">
        <v>331</v>
      </c>
    </row>
    <row r="191" spans="1:18">
      <c r="A191" s="1" t="str">
        <f ca="1">IFERROR(__xludf.DUMMYFUNCTION("""COMPUTED_VALUE"""),"Mohamed Elkady")</f>
        <v>Mohamed Elkady</v>
      </c>
      <c r="B191" s="1" t="str">
        <f ca="1">IFERROR(__xludf.DUMMYFUNCTION("""COMPUTED_VALUE"""),"zmmohamad263@gmail.com")</f>
        <v>zmmohamad263@gmail.com</v>
      </c>
      <c r="C191" s="1">
        <f ca="1">IFERROR(__xludf.DUMMYFUNCTION("""COMPUTED_VALUE"""),201010394673)</f>
        <v>201010394673</v>
      </c>
      <c r="D191" s="1" t="str">
        <f ca="1">IFERROR(__xludf.DUMMYFUNCTION("""COMPUTED_VALUE"""),"Almansoura ")</f>
        <v xml:space="preserve">Almansoura </v>
      </c>
      <c r="E191" s="12" t="str">
        <f ca="1">IFERROR(__xludf.DUMMYFUNCTION("""COMPUTED_VALUE"""),"https://www.facebook.com/profile.php?id=100015832326623&amp;mibextid=ZbWKwL")</f>
        <v>https://www.facebook.com/profile.php?id=100015832326623&amp;mibextid=ZbWKwL</v>
      </c>
      <c r="F191" s="1" t="str">
        <f ca="1">IFERROR(__xludf.DUMMYFUNCTION("""COMPUTED_VALUE"""),"Mohammed elkady")</f>
        <v>Mohammed elkady</v>
      </c>
      <c r="G191" s="1"/>
      <c r="H191" s="1"/>
      <c r="I191" s="1"/>
      <c r="J191" s="1"/>
      <c r="K191" s="1" t="str">
        <f ca="1">IFERROR(__xludf.DUMMYFUNCTION("""COMPUTED_VALUE"""),"Mansoura University")</f>
        <v>Mansoura University</v>
      </c>
      <c r="L191" s="1"/>
      <c r="M191" s="1" t="str">
        <f ca="1">IFERROR(__xludf.DUMMYFUNCTION("""COMPUTED_VALUE"""),"Faculty of Computer &amp; Information Science")</f>
        <v>Faculty of Computer &amp; Information Science</v>
      </c>
      <c r="N191" s="1"/>
      <c r="O191" s="1" t="str">
        <f ca="1">IFERROR(__xludf.DUMMYFUNCTION("""COMPUTED_VALUE"""),"3rd Year")</f>
        <v>3rd Year</v>
      </c>
      <c r="R191" s="1" t="s">
        <v>332</v>
      </c>
    </row>
    <row r="192" spans="1:18">
      <c r="A192" s="1" t="str">
        <f ca="1">IFERROR(__xludf.DUMMYFUNCTION("""COMPUTED_VALUE"""),"Mohamed Nader Rashad Bayoumi")</f>
        <v>Mohamed Nader Rashad Bayoumi</v>
      </c>
      <c r="B192" s="1" t="str">
        <f ca="1">IFERROR(__xludf.DUMMYFUNCTION("""COMPUTED_VALUE"""),"mnader200444@gmail.com")</f>
        <v>mnader200444@gmail.com</v>
      </c>
      <c r="C192" s="1">
        <f ca="1">IFERROR(__xludf.DUMMYFUNCTION("""COMPUTED_VALUE"""),201017296998)</f>
        <v>201017296998</v>
      </c>
      <c r="D192" s="1" t="str">
        <f ca="1">IFERROR(__xludf.DUMMYFUNCTION("""COMPUTED_VALUE"""),"Dakahlia - Mansoura - Suez Canal Street")</f>
        <v>Dakahlia - Mansoura - Suez Canal Street</v>
      </c>
      <c r="E192" s="12" t="str">
        <f ca="1">IFERROR(__xludf.DUMMYFUNCTION("""COMPUTED_VALUE"""),"https://www.facebook.com/profile.php?id=100003506793150")</f>
        <v>https://www.facebook.com/profile.php?id=100003506793150</v>
      </c>
      <c r="F192" s="1" t="str">
        <f ca="1">IFERROR(__xludf.DUMMYFUNCTION("""COMPUTED_VALUE"""),"_naderrr")</f>
        <v>_naderrr</v>
      </c>
      <c r="G192" s="12" t="str">
        <f ca="1">IFERROR(__xludf.DUMMYFUNCTION("""COMPUTED_VALUE"""),"https://x.com/Mo_Nader_1?t=Bs9YOdDqGGASkbIgs9im3Q&amp;s=08")</f>
        <v>https://x.com/Mo_Nader_1?t=Bs9YOdDqGGASkbIgs9im3Q&amp;s=08</v>
      </c>
      <c r="H192" s="12" t="str">
        <f ca="1">IFERROR(__xludf.DUMMYFUNCTION("""COMPUTED_VALUE"""),"www.linkedin.com/in/mohamed-naderrr")</f>
        <v>www.linkedin.com/in/mohamed-naderrr</v>
      </c>
      <c r="I192" s="12" t="str">
        <f ca="1">IFERROR(__xludf.DUMMYFUNCTION("""COMPUTED_VALUE"""),"https://github.com/mohamednaderrr")</f>
        <v>https://github.com/mohamednaderrr</v>
      </c>
      <c r="J192" s="1"/>
      <c r="K192" s="1" t="str">
        <f ca="1">IFERROR(__xludf.DUMMYFUNCTION("""COMPUTED_VALUE"""),"MET")</f>
        <v>MET</v>
      </c>
      <c r="L192" s="1"/>
      <c r="M192" s="1" t="str">
        <f ca="1">IFERROR(__xludf.DUMMYFUNCTION("""COMPUTED_VALUE"""),"Faculty of Computer &amp; Information Science")</f>
        <v>Faculty of Computer &amp; Information Science</v>
      </c>
      <c r="N192" s="1"/>
      <c r="O192" s="1" t="str">
        <f ca="1">IFERROR(__xludf.DUMMYFUNCTION("""COMPUTED_VALUE"""),"3rd Year")</f>
        <v>3rd Year</v>
      </c>
      <c r="R192" s="1" t="s">
        <v>333</v>
      </c>
    </row>
    <row r="193" spans="1:18">
      <c r="A193" s="1" t="str">
        <f ca="1">IFERROR(__xludf.DUMMYFUNCTION("""COMPUTED_VALUE"""),"Rodina Khaled")</f>
        <v>Rodina Khaled</v>
      </c>
      <c r="B193" s="1" t="str">
        <f ca="1">IFERROR(__xludf.DUMMYFUNCTION("""COMPUTED_VALUE"""),"roody.khaled135@gmail.com")</f>
        <v>roody.khaled135@gmail.com</v>
      </c>
      <c r="C193" s="1">
        <f ca="1">IFERROR(__xludf.DUMMYFUNCTION("""COMPUTED_VALUE"""),201065460252)</f>
        <v>201065460252</v>
      </c>
      <c r="D193" s="1" t="str">
        <f ca="1">IFERROR(__xludf.DUMMYFUNCTION("""COMPUTED_VALUE"""),"Mansoura")</f>
        <v>Mansoura</v>
      </c>
      <c r="E193" s="12" t="str">
        <f ca="1">IFERROR(__xludf.DUMMYFUNCTION("""COMPUTED_VALUE"""),"https://www.facebook.com/profile.php?id=61565769183947&amp;mibextid=ZbWKwL")</f>
        <v>https://www.facebook.com/profile.php?id=61565769183947&amp;mibextid=ZbWKwL</v>
      </c>
      <c r="F193" s="1" t="str">
        <f ca="1">IFERROR(__xludf.DUMMYFUNCTION("""COMPUTED_VALUE"""),"Rodina1552006")</f>
        <v>Rodina1552006</v>
      </c>
      <c r="G193" s="1"/>
      <c r="H193" s="1"/>
      <c r="I193" s="1"/>
      <c r="J193" s="1"/>
      <c r="K193" s="1" t="str">
        <f ca="1">IFERROR(__xludf.DUMMYFUNCTION("""COMPUTED_VALUE"""),"Mansoura University")</f>
        <v>Mansoura University</v>
      </c>
      <c r="L193" s="1"/>
      <c r="M193" s="1" t="str">
        <f ca="1">IFERROR(__xludf.DUMMYFUNCTION("""COMPUTED_VALUE"""),"Faculty of Computer &amp; Information Science")</f>
        <v>Faculty of Computer &amp; Information Science</v>
      </c>
      <c r="N193" s="1"/>
      <c r="O193" s="1" t="str">
        <f ca="1">IFERROR(__xludf.DUMMYFUNCTION("""COMPUTED_VALUE"""),"1st Year")</f>
        <v>1st Year</v>
      </c>
      <c r="R193" s="1" t="s">
        <v>334</v>
      </c>
    </row>
    <row r="194" spans="1:18">
      <c r="A194" s="1" t="str">
        <f ca="1">IFERROR(__xludf.DUMMYFUNCTION("""COMPUTED_VALUE"""),"Yousef Yahia ")</f>
        <v xml:space="preserve">Yousef Yahia </v>
      </c>
      <c r="B194" s="1" t="str">
        <f ca="1">IFERROR(__xludf.DUMMYFUNCTION("""COMPUTED_VALUE"""),"yoousefyahia@gmail.com")</f>
        <v>yoousefyahia@gmail.com</v>
      </c>
      <c r="C194" s="1">
        <f ca="1">IFERROR(__xludf.DUMMYFUNCTION("""COMPUTED_VALUE"""),201064146511)</f>
        <v>201064146511</v>
      </c>
      <c r="D194" s="1" t="str">
        <f ca="1">IFERROR(__xludf.DUMMYFUNCTION("""COMPUTED_VALUE"""),"Elmansoura")</f>
        <v>Elmansoura</v>
      </c>
      <c r="E194" s="12" t="str">
        <f ca="1">IFERROR(__xludf.DUMMYFUNCTION("""COMPUTED_VALUE"""),"https://www.facebook.com/profile.php?id=100069021003621&amp;mibextid=ZbWKwL")</f>
        <v>https://www.facebook.com/profile.php?id=100069021003621&amp;mibextid=ZbWKwL</v>
      </c>
      <c r="F194" s="1" t="str">
        <f ca="1">IFERROR(__xludf.DUMMYFUNCTION("""COMPUTED_VALUE"""),"yousefyahia")</f>
        <v>yousefyahia</v>
      </c>
      <c r="G194" s="12" t="str">
        <f ca="1">IFERROR(__xludf.DUMMYFUNCTION("""COMPUTED_VALUE"""),"https://x.com/yousefyahia74?t=2n5fJW9MOjZDrjTkv3F8QA&amp;s=09")</f>
        <v>https://x.com/yousefyahia74?t=2n5fJW9MOjZDrjTkv3F8QA&amp;s=09</v>
      </c>
      <c r="H194" s="12" t="str">
        <f ca="1">IFERROR(__xludf.DUMMYFUNCTION("""COMPUTED_VALUE"""),"https://www.linkedin.com/in/yousefyahia74?utm_source=share&amp;utm_campaign=share_via&amp;utm_content=profile&amp;utm_medium=android_app")</f>
        <v>https://www.linkedin.com/in/yousefyahia74?utm_source=share&amp;utm_campaign=share_via&amp;utm_content=profile&amp;utm_medium=android_app</v>
      </c>
      <c r="I194" s="12" t="str">
        <f ca="1">IFERROR(__xludf.DUMMYFUNCTION("""COMPUTED_VALUE"""),"https://github.com/yoousefyahia")</f>
        <v>https://github.com/yoousefyahia</v>
      </c>
      <c r="J194" s="1"/>
      <c r="K194" s="1" t="str">
        <f ca="1">IFERROR(__xludf.DUMMYFUNCTION("""COMPUTED_VALUE"""),"Mansoura University")</f>
        <v>Mansoura University</v>
      </c>
      <c r="L194" s="1"/>
      <c r="M194" s="1" t="str">
        <f ca="1">IFERROR(__xludf.DUMMYFUNCTION("""COMPUTED_VALUE"""),"Faculty of Science")</f>
        <v>Faculty of Science</v>
      </c>
      <c r="N194" s="1"/>
      <c r="O194" s="1" t="str">
        <f ca="1">IFERROR(__xludf.DUMMYFUNCTION("""COMPUTED_VALUE"""),"4th Year")</f>
        <v>4th Year</v>
      </c>
      <c r="R194" s="1" t="s">
        <v>335</v>
      </c>
    </row>
    <row r="195" spans="1:18">
      <c r="A195" s="1" t="str">
        <f ca="1">IFERROR(__xludf.DUMMYFUNCTION("""COMPUTED_VALUE"""),"Kareem Alaa eldeen osman")</f>
        <v>Kareem Alaa eldeen osman</v>
      </c>
      <c r="B195" s="1" t="str">
        <f ca="1">IFERROR(__xludf.DUMMYFUNCTION("""COMPUTED_VALUE"""),"kareemosman288@gmail.con")</f>
        <v>kareemosman288@gmail.con</v>
      </c>
      <c r="C195" s="1">
        <f ca="1">IFERROR(__xludf.DUMMYFUNCTION("""COMPUTED_VALUE"""),201095182425)</f>
        <v>201095182425</v>
      </c>
      <c r="D195" s="1" t="str">
        <f ca="1">IFERROR(__xludf.DUMMYFUNCTION("""COMPUTED_VALUE"""),"Ras elbar")</f>
        <v>Ras elbar</v>
      </c>
      <c r="E195" s="12" t="str">
        <f ca="1">IFERROR(__xludf.DUMMYFUNCTION("""COMPUTED_VALUE"""),"https://www.facebook.com/profile.php?id=100040488228934&amp;mibextid=LQQJ4d")</f>
        <v>https://www.facebook.com/profile.php?id=100040488228934&amp;mibextid=LQQJ4d</v>
      </c>
      <c r="F195" s="1" t="str">
        <f ca="1">IFERROR(__xludf.DUMMYFUNCTION("""COMPUTED_VALUE"""),"kareemosman123")</f>
        <v>kareemosman123</v>
      </c>
      <c r="G195" s="12" t="str">
        <f ca="1">IFERROR(__xludf.DUMMYFUNCTION("""COMPUTED_VALUE"""),"https://www.facebook.com/profile.php?id=100040488228934&amp;mibextid=LQQJ4d")</f>
        <v>https://www.facebook.com/profile.php?id=100040488228934&amp;mibextid=LQQJ4d</v>
      </c>
      <c r="H195" s="12" t="str">
        <f ca="1">IFERROR(__xludf.DUMMYFUNCTION("""COMPUTED_VALUE"""),"https://www.linkedin.com/in/kareem-alaaa-47430a2b8?utm_source=share&amp;utm_campaign=share_via&amp;utm_content=profile&amp;utm_medium=ios_app")</f>
        <v>https://www.linkedin.com/in/kareem-alaaa-47430a2b8?utm_source=share&amp;utm_campaign=share_via&amp;utm_content=profile&amp;utm_medium=ios_app</v>
      </c>
      <c r="I195" s="1"/>
      <c r="J195" s="1"/>
      <c r="K195" s="1" t="str">
        <f ca="1">IFERROR(__xludf.DUMMYFUNCTION("""COMPUTED_VALUE"""),"Mansoura University")</f>
        <v>Mansoura University</v>
      </c>
      <c r="L195" s="1"/>
      <c r="M195" s="1" t="str">
        <f ca="1">IFERROR(__xludf.DUMMYFUNCTION("""COMPUTED_VALUE"""),"Faculty of Engineering")</f>
        <v>Faculty of Engineering</v>
      </c>
      <c r="N195" s="1"/>
      <c r="O195" s="1" t="str">
        <f ca="1">IFERROR(__xludf.DUMMYFUNCTION("""COMPUTED_VALUE"""),"1st Year")</f>
        <v>1st Year</v>
      </c>
      <c r="R195" s="1" t="s">
        <v>336</v>
      </c>
    </row>
    <row r="196" spans="1:18">
      <c r="A196" s="1" t="str">
        <f ca="1">IFERROR(__xludf.DUMMYFUNCTION("""COMPUTED_VALUE"""),"Malak Elgamily")</f>
        <v>Malak Elgamily</v>
      </c>
      <c r="B196" s="1" t="str">
        <f ca="1">IFERROR(__xludf.DUMMYFUNCTION("""COMPUTED_VALUE"""),"malakelgamily44@gmail.com")</f>
        <v>malakelgamily44@gmail.com</v>
      </c>
      <c r="C196" s="1">
        <f ca="1">IFERROR(__xludf.DUMMYFUNCTION("""COMPUTED_VALUE"""),201007817578)</f>
        <v>201007817578</v>
      </c>
      <c r="D196" s="1" t="str">
        <f ca="1">IFERROR(__xludf.DUMMYFUNCTION("""COMPUTED_VALUE"""),"mansoura")</f>
        <v>mansoura</v>
      </c>
      <c r="E196" s="12" t="str">
        <f ca="1">IFERROR(__xludf.DUMMYFUNCTION("""COMPUTED_VALUE"""),"https://www.facebook.com/p/Malak-Elgamily-100030976390267/?mibextid=LQQJ4d")</f>
        <v>https://www.facebook.com/p/Malak-Elgamily-100030976390267/?mibextid=LQQJ4d</v>
      </c>
      <c r="F196" s="1" t="str">
        <f ca="1">IFERROR(__xludf.DUMMYFUNCTION("""COMPUTED_VALUE"""),"malakelgamily")</f>
        <v>malakelgamily</v>
      </c>
      <c r="G196" s="12" t="str">
        <f ca="1">IFERROR(__xludf.DUMMYFUNCTION("""COMPUTED_VALUE"""),"https://x.com/home")</f>
        <v>https://x.com/home</v>
      </c>
      <c r="H196" s="12" t="str">
        <f ca="1">IFERROR(__xludf.DUMMYFUNCTION("""COMPUTED_VALUE"""),"https://www.linkedin.com/in/malak-elgamily-aba865329?utm_source=share&amp;utm_campaign=share_via&amp;utm_content=profile&amp;utm_medium=ios_app")</f>
        <v>https://www.linkedin.com/in/malak-elgamily-aba865329?utm_source=share&amp;utm_campaign=share_via&amp;utm_content=profile&amp;utm_medium=ios_app</v>
      </c>
      <c r="I196" s="1"/>
      <c r="J196" s="1"/>
      <c r="K196" s="1" t="str">
        <f ca="1">IFERROR(__xludf.DUMMYFUNCTION("""COMPUTED_VALUE"""),"Mansoura University")</f>
        <v>Mansoura University</v>
      </c>
      <c r="L196" s="1"/>
      <c r="M196" s="1" t="str">
        <f ca="1">IFERROR(__xludf.DUMMYFUNCTION("""COMPUTED_VALUE"""),"Faculty of Computer &amp; Information Science")</f>
        <v>Faculty of Computer &amp; Information Science</v>
      </c>
      <c r="N196" s="1"/>
      <c r="O196" s="1" t="str">
        <f ca="1">IFERROR(__xludf.DUMMYFUNCTION("""COMPUTED_VALUE"""),"1st Year")</f>
        <v>1st Year</v>
      </c>
      <c r="R196" s="1" t="s">
        <v>337</v>
      </c>
    </row>
    <row r="197" spans="1:18">
      <c r="A197" s="1" t="str">
        <f ca="1">IFERROR(__xludf.DUMMYFUNCTION("""COMPUTED_VALUE"""),"Nada hassan ghazy")</f>
        <v>Nada hassan ghazy</v>
      </c>
      <c r="B197" s="1" t="str">
        <f ca="1">IFERROR(__xludf.DUMMYFUNCTION("""COMPUTED_VALUE"""),"nadaghazy920@gmail.com")</f>
        <v>nadaghazy920@gmail.com</v>
      </c>
      <c r="C197" s="1">
        <f ca="1">IFERROR(__xludf.DUMMYFUNCTION("""COMPUTED_VALUE"""),201144928539)</f>
        <v>201144928539</v>
      </c>
      <c r="D197" s="1" t="str">
        <f ca="1">IFERROR(__xludf.DUMMYFUNCTION("""COMPUTED_VALUE"""),"El mansoura")</f>
        <v>El mansoura</v>
      </c>
      <c r="E197" s="12" t="str">
        <f ca="1">IFERROR(__xludf.DUMMYFUNCTION("""COMPUTED_VALUE"""),"https://www.facebook.com/profile.php?id=100010602588546&amp;mibextid=LQQJ4d")</f>
        <v>https://www.facebook.com/profile.php?id=100010602588546&amp;mibextid=LQQJ4d</v>
      </c>
      <c r="F197" s="12" t="str">
        <f ca="1">IFERROR(__xludf.DUMMYFUNCTION("""COMPUTED_VALUE"""),"https://www.facebook.com/profile.php?id=100010602588546&amp;mibextid=LQQJ4d")</f>
        <v>https://www.facebook.com/profile.php?id=100010602588546&amp;mibextid=LQQJ4d</v>
      </c>
      <c r="G197" s="12" t="str">
        <f ca="1">IFERROR(__xludf.DUMMYFUNCTION("""COMPUTED_VALUE"""),"https://x.com/nadaa_hasan1?s=21")</f>
        <v>https://x.com/nadaa_hasan1?s=21</v>
      </c>
      <c r="H197" s="12" t="str">
        <f ca="1">IFERROR(__xludf.DUMMYFUNCTION("""COMPUTED_VALUE"""),"https://www.linkedin.com/in/nada-hassan-9645a1336?utm_source=share&amp;utm_campaign=share_via&amp;utm_content=profile&amp;utm_medium=ios_app")</f>
        <v>https://www.linkedin.com/in/nada-hassan-9645a1336?utm_source=share&amp;utm_campaign=share_via&amp;utm_content=profile&amp;utm_medium=ios_app</v>
      </c>
      <c r="I197" s="1"/>
      <c r="J197" s="1"/>
      <c r="K197" s="1" t="str">
        <f ca="1">IFERROR(__xludf.DUMMYFUNCTION("""COMPUTED_VALUE"""),"Mansoura University")</f>
        <v>Mansoura University</v>
      </c>
      <c r="L197" s="1"/>
      <c r="M197" s="1" t="str">
        <f ca="1">IFERROR(__xludf.DUMMYFUNCTION("""COMPUTED_VALUE"""),"Faculty of Computer &amp; Information Science")</f>
        <v>Faculty of Computer &amp; Information Science</v>
      </c>
      <c r="N197" s="1"/>
      <c r="O197" s="1" t="str">
        <f ca="1">IFERROR(__xludf.DUMMYFUNCTION("""COMPUTED_VALUE"""),"1st Year")</f>
        <v>1st Year</v>
      </c>
      <c r="R197" s="1" t="s">
        <v>338</v>
      </c>
    </row>
    <row r="198" spans="1:18">
      <c r="A198" s="1" t="str">
        <f ca="1">IFERROR(__xludf.DUMMYFUNCTION("""COMPUTED_VALUE"""),"omar")</f>
        <v>omar</v>
      </c>
      <c r="B198" s="1" t="str">
        <f ca="1">IFERROR(__xludf.DUMMYFUNCTION("""COMPUTED_VALUE"""),"omarelhelaly520@gmail.com")</f>
        <v>omarelhelaly520@gmail.com</v>
      </c>
      <c r="C198" s="1">
        <f ca="1">IFERROR(__xludf.DUMMYFUNCTION("""COMPUTED_VALUE"""),201095496184)</f>
        <v>201095496184</v>
      </c>
      <c r="D198" s="1" t="str">
        <f ca="1">IFERROR(__xludf.DUMMYFUNCTION("""COMPUTED_VALUE"""),"Aga")</f>
        <v>Aga</v>
      </c>
      <c r="E198" s="12" t="str">
        <f ca="1">IFERROR(__xludf.DUMMYFUNCTION("""COMPUTED_VALUE"""),"https://www.facebook.com/")</f>
        <v>https://www.facebook.com/</v>
      </c>
      <c r="F198" s="12" t="str">
        <f ca="1">IFERROR(__xludf.DUMMYFUNCTION("""COMPUTED_VALUE"""),"https://www.bing.com/ck/a?!&amp;&amp;p=ac5205759914d9a32e1e59893a55a4fe512b4d4ea9203b027e9a986c77fc7df6JmltdHM9MTczMjIzMzYwMA&amp;ptn=3&amp;ver=2&amp;hsh=4&amp;fclid=0ae15731-962d-663b-006f-42219797676b&amp;psq=discord&amp;u=a1aHR0cHM6Ly9kaXNjb3JkLmNvbS8&amp;ntb=1")</f>
        <v>https://www.bing.com/ck/a?!&amp;&amp;p=ac5205759914d9a32e1e59893a55a4fe512b4d4ea9203b027e9a986c77fc7df6JmltdHM9MTczMjIzMzYwMA&amp;ptn=3&amp;ver=2&amp;hsh=4&amp;fclid=0ae15731-962d-663b-006f-42219797676b&amp;psq=discord&amp;u=a1aHR0cHM6Ly9kaXNjb3JkLmNvbS8&amp;ntb=1</v>
      </c>
      <c r="G198" s="12" t="str">
        <f ca="1">IFERROR(__xludf.DUMMYFUNCTION("""COMPUTED_VALUE"""),"https://x.com/OAbdalallh20858")</f>
        <v>https://x.com/OAbdalallh20858</v>
      </c>
      <c r="H198" s="12" t="str">
        <f ca="1">IFERROR(__xludf.DUMMYFUNCTION("""COMPUTED_VALUE"""),"https://www.linkedin.com/in/omar-abdalallh-46a55a2b7/?lipi=urn%3Ali%3Apage%3Ad_flagship3_feed%3BiG%2BRMAZqShmAhangtIyRzQ%3D%3D")</f>
        <v>https://www.linkedin.com/in/omar-abdalallh-46a55a2b7/?lipi=urn%3Ali%3Apage%3Ad_flagship3_feed%3BiG%2BRMAZqShmAhangtIyRzQ%3D%3D</v>
      </c>
      <c r="I198" s="12" t="str">
        <f ca="1">IFERROR(__xludf.DUMMYFUNCTION("""COMPUTED_VALUE"""),"https://github.com/")</f>
        <v>https://github.com/</v>
      </c>
      <c r="J198" s="1"/>
      <c r="K198" s="1" t="str">
        <f ca="1">IFERROR(__xludf.DUMMYFUNCTION("""COMPUTED_VALUE"""),"Mansoura University")</f>
        <v>Mansoura University</v>
      </c>
      <c r="L198" s="1"/>
      <c r="M198" s="1" t="str">
        <f ca="1">IFERROR(__xludf.DUMMYFUNCTION("""COMPUTED_VALUE"""),"Faculty of Computer &amp; Information Science")</f>
        <v>Faculty of Computer &amp; Information Science</v>
      </c>
      <c r="N198" s="1"/>
      <c r="O198" s="1" t="str">
        <f ca="1">IFERROR(__xludf.DUMMYFUNCTION("""COMPUTED_VALUE"""),"2nd Year")</f>
        <v>2nd Year</v>
      </c>
      <c r="R198" s="1" t="s">
        <v>19</v>
      </c>
    </row>
    <row r="199" spans="1:18">
      <c r="A199" s="1" t="str">
        <f ca="1">IFERROR(__xludf.DUMMYFUNCTION("""COMPUTED_VALUE"""),"فتحي البيار")</f>
        <v>فتحي البيار</v>
      </c>
      <c r="B199" s="1" t="str">
        <f ca="1">IFERROR(__xludf.DUMMYFUNCTION("""COMPUTED_VALUE"""),"fthyalbyar@gmail.com")</f>
        <v>fthyalbyar@gmail.com</v>
      </c>
      <c r="C199" s="1">
        <f ca="1">IFERROR(__xludf.DUMMYFUNCTION("""COMPUTED_VALUE"""),201092352631)</f>
        <v>201092352631</v>
      </c>
      <c r="D199" s="1" t="str">
        <f ca="1">IFERROR(__xludf.DUMMYFUNCTION("""COMPUTED_VALUE"""),"سلامون القماش مركز المنصوره ")</f>
        <v xml:space="preserve">سلامون القماش مركز المنصوره </v>
      </c>
      <c r="E199" s="12" t="str">
        <f ca="1">IFERROR(__xludf.DUMMYFUNCTION("""COMPUTED_VALUE"""),"https://www.facebook.com/fathy.elbyar?mibextid=ZbWKwL")</f>
        <v>https://www.facebook.com/fathy.elbyar?mibextid=ZbWKwL</v>
      </c>
      <c r="F199" s="12" t="str">
        <f ca="1">IFERROR(__xludf.DUMMYFUNCTION("""COMPUTED_VALUE"""),"https://www.facebook.com/fathy.elbyar?mibextid=ZbWKwL")</f>
        <v>https://www.facebook.com/fathy.elbyar?mibextid=ZbWKwL</v>
      </c>
      <c r="G199" s="1"/>
      <c r="H199" s="1"/>
      <c r="I199" s="12" t="str">
        <f ca="1">IFERROR(__xludf.DUMMYFUNCTION("""COMPUTED_VALUE"""),"https://www.facebook.com/fathy.elbyar?mibextid=ZbWKwL")</f>
        <v>https://www.facebook.com/fathy.elbyar?mibextid=ZbWKwL</v>
      </c>
      <c r="J199" s="1"/>
      <c r="K199" s="1" t="str">
        <f ca="1">IFERROR(__xludf.DUMMYFUNCTION("""COMPUTED_VALUE"""),"Mansoura University")</f>
        <v>Mansoura University</v>
      </c>
      <c r="L199" s="1"/>
      <c r="M199" s="1" t="str">
        <f ca="1">IFERROR(__xludf.DUMMYFUNCTION("""COMPUTED_VALUE"""),"Faculty of Computer &amp; Information Science")</f>
        <v>Faculty of Computer &amp; Information Science</v>
      </c>
      <c r="N199" s="1"/>
      <c r="O199" s="1" t="str">
        <f ca="1">IFERROR(__xludf.DUMMYFUNCTION("""COMPUTED_VALUE"""),"1st Year")</f>
        <v>1st Year</v>
      </c>
      <c r="R199" s="1" t="s">
        <v>339</v>
      </c>
    </row>
    <row r="200" spans="1:18">
      <c r="A200" s="1" t="str">
        <f ca="1">IFERROR(__xludf.DUMMYFUNCTION("""COMPUTED_VALUE"""),"salah mager")</f>
        <v>salah mager</v>
      </c>
      <c r="B200" s="1" t="str">
        <f ca="1">IFERROR(__xludf.DUMMYFUNCTION("""COMPUTED_VALUE"""),"ff7090015@gmail.com")</f>
        <v>ff7090015@gmail.com</v>
      </c>
      <c r="C200" s="1">
        <f ca="1">IFERROR(__xludf.DUMMYFUNCTION("""COMPUTED_VALUE"""),201010240835)</f>
        <v>201010240835</v>
      </c>
      <c r="D200" s="1" t="str">
        <f ca="1">IFERROR(__xludf.DUMMYFUNCTION("""COMPUTED_VALUE"""),"mansoura")</f>
        <v>mansoura</v>
      </c>
      <c r="E200" s="12" t="str">
        <f ca="1">IFERROR(__xludf.DUMMYFUNCTION("""COMPUTED_VALUE"""),"https://www.facebook.com/magarsalah/")</f>
        <v>https://www.facebook.com/magarsalah/</v>
      </c>
      <c r="F200" s="1" t="str">
        <f ca="1">IFERROR(__xludf.DUMMYFUNCTION("""COMPUTED_VALUE"""),"cgisalah")</f>
        <v>cgisalah</v>
      </c>
      <c r="G200" s="1"/>
      <c r="H200" s="1"/>
      <c r="I200" s="1"/>
      <c r="J200" s="12" t="str">
        <f ca="1">IFERROR(__xludf.DUMMYFUNCTION("""COMPUTED_VALUE"""),"https://www.instagram.com/cgi_salah/")</f>
        <v>https://www.instagram.com/cgi_salah/</v>
      </c>
      <c r="K200" s="1" t="str">
        <f ca="1">IFERROR(__xludf.DUMMYFUNCTION("""COMPUTED_VALUE"""),"Mansoura University")</f>
        <v>Mansoura University</v>
      </c>
      <c r="L200" s="1"/>
      <c r="M200" s="1" t="str">
        <f ca="1">IFERROR(__xludf.DUMMYFUNCTION("""COMPUTED_VALUE"""),"Faculty of Computer &amp; Information Science")</f>
        <v>Faculty of Computer &amp; Information Science</v>
      </c>
      <c r="N200" s="1"/>
      <c r="O200" s="1" t="str">
        <f ca="1">IFERROR(__xludf.DUMMYFUNCTION("""COMPUTED_VALUE"""),"1st Year")</f>
        <v>1st Year</v>
      </c>
      <c r="R200" s="1" t="s">
        <v>340</v>
      </c>
    </row>
    <row r="201" spans="1:18">
      <c r="A201" s="1" t="str">
        <f ca="1">IFERROR(__xludf.DUMMYFUNCTION("""COMPUTED_VALUE"""),"mohamed samy elboraey")</f>
        <v>mohamed samy elboraey</v>
      </c>
      <c r="B201" s="1" t="str">
        <f ca="1">IFERROR(__xludf.DUMMYFUNCTION("""COMPUTED_VALUE"""),"mohamed.samy00077@gmail.com")</f>
        <v>mohamed.samy00077@gmail.com</v>
      </c>
      <c r="C201" s="1">
        <f ca="1">IFERROR(__xludf.DUMMYFUNCTION("""COMPUTED_VALUE"""),201279342177)</f>
        <v>201279342177</v>
      </c>
      <c r="D201" s="1" t="str">
        <f ca="1">IFERROR(__xludf.DUMMYFUNCTION("""COMPUTED_VALUE"""),"mansuora")</f>
        <v>mansuora</v>
      </c>
      <c r="E201" s="12" t="str">
        <f ca="1">IFERROR(__xludf.DUMMYFUNCTION("""COMPUTED_VALUE"""),"https://www.facebook.com/profile.php?id=100009707051135&amp;ref=xav_ig_profile_web")</f>
        <v>https://www.facebook.com/profile.php?id=100009707051135&amp;ref=xav_ig_profile_web</v>
      </c>
      <c r="F201" s="12" t="str">
        <f ca="1">IFERROR(__xludf.DUMMYFUNCTION("""COMPUTED_VALUE"""),"https://discordapp.com/users/697974709253308417")</f>
        <v>https://discordapp.com/users/697974709253308417</v>
      </c>
      <c r="G201" s="12" t="str">
        <f ca="1">IFERROR(__xludf.DUMMYFUNCTION("""COMPUTED_VALUE"""),"https://l.facebook.com/l.php?u=https%3A%2F%2Ftwitter.com%2Felboor3y%3Ffbclid%3DIwZXh0bgNhZW0CMTAAAR2YwkfHKBFRs7N6kK9lReQcadx_Vm7Wf16b2KTcqB3StzYij4mL-boqFfY_aem_GBTSur1Ey8PudRv4g41Grg&amp;h=AT1Jc43i7xOnRymGl1YcOfazQ1u2l4mfDvK6bHFbfUJKDRocwMD9HzqUeloz9ifj0PL7R"&amp;"XbRkq9LVDC91F-Qa0YJrFHxZ0b4tKFn4ant2hbDdiE1DayYN_kOjkuu1NCmZoac")</f>
        <v>https://l.facebook.com/l.php?u=https%3A%2F%2Ftwitter.com%2Felboor3y%3Ffbclid%3DIwZXh0bgNhZW0CMTAAAR2YwkfHKBFRs7N6kK9lReQcadx_Vm7Wf16b2KTcqB3StzYij4mL-boqFfY_aem_GBTSur1Ey8PudRv4g41Grg&amp;h=AT1Jc43i7xOnRymGl1YcOfazQ1u2l4mfDvK6bHFbfUJKDRocwMD9HzqUeloz9ifj0PL7RXbRkq9LVDC91F-Qa0YJrFHxZ0b4tKFn4ant2hbDdiE1DayYN_kOjkuu1NCmZoac</v>
      </c>
      <c r="H201" s="1"/>
      <c r="I201" s="1"/>
      <c r="J201" s="1"/>
      <c r="K201" s="1" t="str">
        <f ca="1">IFERROR(__xludf.DUMMYFUNCTION("""COMPUTED_VALUE"""),"Mansoura University")</f>
        <v>Mansoura University</v>
      </c>
      <c r="L201" s="1"/>
      <c r="M201" s="1" t="str">
        <f ca="1">IFERROR(__xludf.DUMMYFUNCTION("""COMPUTED_VALUE"""),"Faculty of Computer &amp; Information Science")</f>
        <v>Faculty of Computer &amp; Information Science</v>
      </c>
      <c r="N201" s="1"/>
      <c r="O201" s="1" t="str">
        <f ca="1">IFERROR(__xludf.DUMMYFUNCTION("""COMPUTED_VALUE"""),"1st Year")</f>
        <v>1st Year</v>
      </c>
      <c r="R201" s="1" t="s">
        <v>341</v>
      </c>
    </row>
    <row r="202" spans="1:18">
      <c r="A202" s="1" t="str">
        <f ca="1">IFERROR(__xludf.DUMMYFUNCTION("""COMPUTED_VALUE"""),"Malak Sameh Elbanna")</f>
        <v>Malak Sameh Elbanna</v>
      </c>
      <c r="B202" s="1" t="str">
        <f ca="1">IFERROR(__xludf.DUMMYFUNCTION("""COMPUTED_VALUE"""),"malakelbannaaa111@gmail.com")</f>
        <v>malakelbannaaa111@gmail.com</v>
      </c>
      <c r="C202" s="1">
        <f ca="1">IFERROR(__xludf.DUMMYFUNCTION("""COMPUTED_VALUE"""),201270034890)</f>
        <v>201270034890</v>
      </c>
      <c r="D202" s="1" t="str">
        <f ca="1">IFERROR(__xludf.DUMMYFUNCTION("""COMPUTED_VALUE"""),"Elmahalla elkubra")</f>
        <v>Elmahalla elkubra</v>
      </c>
      <c r="E202" s="12" t="str">
        <f ca="1">IFERROR(__xludf.DUMMYFUNCTION("""COMPUTED_VALUE"""),"https://www.facebook.com/profile.php?id=100067591009348")</f>
        <v>https://www.facebook.com/profile.php?id=100067591009348</v>
      </c>
      <c r="F202" s="1">
        <f ca="1">IFERROR(__xludf.DUMMYFUNCTION("""COMPUTED_VALUE"""),12345)</f>
        <v>12345</v>
      </c>
      <c r="G202" s="12" t="str">
        <f ca="1">IFERROR(__xludf.DUMMYFUNCTION("""COMPUTED_VALUE"""),"https://x.com/MalakElbanna0")</f>
        <v>https://x.com/MalakElbanna0</v>
      </c>
      <c r="H202" s="1"/>
      <c r="I202" s="1"/>
      <c r="J202" s="1"/>
      <c r="K202" s="1" t="str">
        <f ca="1">IFERROR(__xludf.DUMMYFUNCTION("""COMPUTED_VALUE"""),"Mansoura University")</f>
        <v>Mansoura University</v>
      </c>
      <c r="L202" s="1"/>
      <c r="M202" s="1" t="str">
        <f ca="1">IFERROR(__xludf.DUMMYFUNCTION("""COMPUTED_VALUE"""),"Faculty of Computer &amp; Information Science")</f>
        <v>Faculty of Computer &amp; Information Science</v>
      </c>
      <c r="N202" s="1"/>
      <c r="O202" s="1" t="str">
        <f ca="1">IFERROR(__xludf.DUMMYFUNCTION("""COMPUTED_VALUE"""),"1st Year")</f>
        <v>1st Year</v>
      </c>
      <c r="R202" s="1" t="s">
        <v>342</v>
      </c>
    </row>
    <row r="203" spans="1:18">
      <c r="A203" s="1" t="str">
        <f ca="1">IFERROR(__xludf.DUMMYFUNCTION("""COMPUTED_VALUE"""),"Mohamed Elatar ")</f>
        <v xml:space="preserve">Mohamed Elatar </v>
      </c>
      <c r="B203" s="1" t="str">
        <f ca="1">IFERROR(__xludf.DUMMYFUNCTION("""COMPUTED_VALUE"""),"mohammedelatar60@gmail.com")</f>
        <v>mohammedelatar60@gmail.com</v>
      </c>
      <c r="C203" s="1">
        <f ca="1">IFERROR(__xludf.DUMMYFUNCTION("""COMPUTED_VALUE"""),201013698294)</f>
        <v>201013698294</v>
      </c>
      <c r="D203" s="1" t="str">
        <f ca="1">IFERROR(__xludf.DUMMYFUNCTION("""COMPUTED_VALUE"""),"Elmansora")</f>
        <v>Elmansora</v>
      </c>
      <c r="E203" s="12" t="str">
        <f ca="1">IFERROR(__xludf.DUMMYFUNCTION("""COMPUTED_VALUE"""),"https://www.facebook.com/profile.php?id=100090230381515&amp;mibextid=ZbWKwL")</f>
        <v>https://www.facebook.com/profile.php?id=100090230381515&amp;mibextid=ZbWKwL</v>
      </c>
      <c r="F203" s="12" t="str">
        <f ca="1">IFERROR(__xludf.DUMMYFUNCTION("""COMPUTED_VALUE"""),"https://www.facebook.com/profile.php?id=100090230381515&amp;mibextid=ZbWKwL")</f>
        <v>https://www.facebook.com/profile.php?id=100090230381515&amp;mibextid=ZbWKwL</v>
      </c>
      <c r="G203" s="1"/>
      <c r="H203" s="1"/>
      <c r="I203" s="1"/>
      <c r="J203" s="1"/>
      <c r="K203" s="1" t="str">
        <f ca="1">IFERROR(__xludf.DUMMYFUNCTION("""COMPUTED_VALUE"""),"Mansoura University")</f>
        <v>Mansoura University</v>
      </c>
      <c r="L203" s="1"/>
      <c r="M203" s="1" t="str">
        <f ca="1">IFERROR(__xludf.DUMMYFUNCTION("""COMPUTED_VALUE"""),"Faculty of Computer &amp; Information Science")</f>
        <v>Faculty of Computer &amp; Information Science</v>
      </c>
      <c r="N203" s="1"/>
      <c r="O203" s="1" t="str">
        <f ca="1">IFERROR(__xludf.DUMMYFUNCTION("""COMPUTED_VALUE"""),"1st Year")</f>
        <v>1st Year</v>
      </c>
      <c r="R203" s="1" t="s">
        <v>343</v>
      </c>
    </row>
    <row r="204" spans="1:18">
      <c r="A204" s="1" t="str">
        <f ca="1">IFERROR(__xludf.DUMMYFUNCTION("""COMPUTED_VALUE"""),"Mariam Mohamed Elmalah")</f>
        <v>Mariam Mohamed Elmalah</v>
      </c>
      <c r="B204" s="1" t="str">
        <f ca="1">IFERROR(__xludf.DUMMYFUNCTION("""COMPUTED_VALUE"""),"mariammmohsenm@gmail.com")</f>
        <v>mariammmohsenm@gmail.com</v>
      </c>
      <c r="C204" s="1">
        <f ca="1">IFERROR(__xludf.DUMMYFUNCTION("""COMPUTED_VALUE"""),201025499404)</f>
        <v>201025499404</v>
      </c>
      <c r="D204" s="1" t="str">
        <f ca="1">IFERROR(__xludf.DUMMYFUNCTION("""COMPUTED_VALUE"""),"mansoura")</f>
        <v>mansoura</v>
      </c>
      <c r="E204" s="12" t="str">
        <f ca="1">IFERROR(__xludf.DUMMYFUNCTION("""COMPUTED_VALUE"""),"https://www.facebook.com/profile.php?id=100027982335383")</f>
        <v>https://www.facebook.com/profile.php?id=100027982335383</v>
      </c>
      <c r="F204" s="12" t="str">
        <f ca="1">IFERROR(__xludf.DUMMYFUNCTION("""COMPUTED_VALUE"""),"https://support.discord.com/hc/en-us/profiles/27996346376983")</f>
        <v>https://support.discord.com/hc/en-us/profiles/27996346376983</v>
      </c>
      <c r="G204" s="1"/>
      <c r="H204" s="1"/>
      <c r="I204" s="1"/>
      <c r="J204" s="1"/>
      <c r="K204" s="1" t="str">
        <f ca="1">IFERROR(__xludf.DUMMYFUNCTION("""COMPUTED_VALUE"""),"Mansoura University")</f>
        <v>Mansoura University</v>
      </c>
      <c r="L204" s="1"/>
      <c r="M204" s="1" t="str">
        <f ca="1">IFERROR(__xludf.DUMMYFUNCTION("""COMPUTED_VALUE"""),"Faculty of Computer &amp; Information Science")</f>
        <v>Faculty of Computer &amp; Information Science</v>
      </c>
      <c r="N204" s="1"/>
      <c r="O204" s="1" t="str">
        <f ca="1">IFERROR(__xludf.DUMMYFUNCTION("""COMPUTED_VALUE"""),"1st Year")</f>
        <v>1st Year</v>
      </c>
      <c r="R204" s="1" t="s">
        <v>344</v>
      </c>
    </row>
    <row r="205" spans="1:18">
      <c r="A205" s="1" t="str">
        <f ca="1">IFERROR(__xludf.DUMMYFUNCTION("""COMPUTED_VALUE"""),"Rania Ibrihem Farag")</f>
        <v>Rania Ibrihem Farag</v>
      </c>
      <c r="B205" s="1" t="str">
        <f ca="1">IFERROR(__xludf.DUMMYFUNCTION("""COMPUTED_VALUE"""),"raniafarag211@gmail.com")</f>
        <v>raniafarag211@gmail.com</v>
      </c>
      <c r="C205" s="1">
        <f ca="1">IFERROR(__xludf.DUMMYFUNCTION("""COMPUTED_VALUE"""),201505318233)</f>
        <v>201505318233</v>
      </c>
      <c r="D205" s="1" t="str">
        <f ca="1">IFERROR(__xludf.DUMMYFUNCTION("""COMPUTED_VALUE"""),"الكردي")</f>
        <v>الكردي</v>
      </c>
      <c r="E205" s="12" t="str">
        <f ca="1">IFERROR(__xludf.DUMMYFUNCTION("""COMPUTED_VALUE"""),"https://www.facebook.com/profile.php?id=61566169385330")</f>
        <v>https://www.facebook.com/profile.php?id=61566169385330</v>
      </c>
      <c r="F205" s="12" t="str">
        <f ca="1">IFERROR(__xludf.DUMMYFUNCTION("""COMPUTED_VALUE"""),"https://discord.gg/dC2dVHtr")</f>
        <v>https://discord.gg/dC2dVHtr</v>
      </c>
      <c r="G205" s="1"/>
      <c r="H205" s="1"/>
      <c r="I205" s="1"/>
      <c r="J205" s="1"/>
      <c r="K205" s="1" t="str">
        <f ca="1">IFERROR(__xludf.DUMMYFUNCTION("""COMPUTED_VALUE"""),"Mansoura University")</f>
        <v>Mansoura University</v>
      </c>
      <c r="L205" s="1"/>
      <c r="M205" s="1" t="str">
        <f ca="1">IFERROR(__xludf.DUMMYFUNCTION("""COMPUTED_VALUE"""),"Faculty of Computer &amp; Information Science")</f>
        <v>Faculty of Computer &amp; Information Science</v>
      </c>
      <c r="N205" s="1"/>
      <c r="O205" s="1" t="str">
        <f ca="1">IFERROR(__xludf.DUMMYFUNCTION("""COMPUTED_VALUE"""),"1st Year")</f>
        <v>1st Year</v>
      </c>
      <c r="R205" s="1" t="s">
        <v>345</v>
      </c>
    </row>
    <row r="206" spans="1:18">
      <c r="A206" s="1" t="str">
        <f ca="1">IFERROR(__xludf.DUMMYFUNCTION("""COMPUTED_VALUE"""),"Mohamed ahmed Saleh ")</f>
        <v xml:space="preserve">Mohamed ahmed Saleh </v>
      </c>
      <c r="B206" s="1" t="str">
        <f ca="1">IFERROR(__xludf.DUMMYFUNCTION("""COMPUTED_VALUE"""),"thm64227@gmail.com")</f>
        <v>thm64227@gmail.com</v>
      </c>
      <c r="C206" s="1">
        <f ca="1">IFERROR(__xludf.DUMMYFUNCTION("""COMPUTED_VALUE"""),201557118292)</f>
        <v>201557118292</v>
      </c>
      <c r="D206" s="1" t="str">
        <f ca="1">IFERROR(__xludf.DUMMYFUNCTION("""COMPUTED_VALUE"""),"زفتي شارع الجيش القبلي بجوار مسجد المغفرة ")</f>
        <v xml:space="preserve">زفتي شارع الجيش القبلي بجوار مسجد المغفرة </v>
      </c>
      <c r="E206" s="12" t="str">
        <f ca="1">IFERROR(__xludf.DUMMYFUNCTION("""COMPUTED_VALUE"""),"https://www.facebook.com/profile.php?id=61563112269630&amp;mibextid=ZbWKwL")</f>
        <v>https://www.facebook.com/profile.php?id=61563112269630&amp;mibextid=ZbWKwL</v>
      </c>
      <c r="F206" s="12" t="str">
        <f ca="1">IFERROR(__xludf.DUMMYFUNCTION("""COMPUTED_VALUE"""),"https://discord.gg/MWTXy97W")</f>
        <v>https://discord.gg/MWTXy97W</v>
      </c>
      <c r="G206" s="1"/>
      <c r="H206" s="12" t="str">
        <f ca="1">IFERROR(__xludf.DUMMYFUNCTION("""COMPUTED_VALUE"""),"https://www.linkedin.com/in/mohamed-saleh-3422362a5?utm_source=share&amp;utm_campaign=share_via&amp;utm_content=profile&amp;utm_medium=android_app")</f>
        <v>https://www.linkedin.com/in/mohamed-saleh-3422362a5?utm_source=share&amp;utm_campaign=share_via&amp;utm_content=profile&amp;utm_medium=android_app</v>
      </c>
      <c r="I206" s="1"/>
      <c r="J206" s="1"/>
      <c r="K206" s="1" t="str">
        <f ca="1">IFERROR(__xludf.DUMMYFUNCTION("""COMPUTED_VALUE"""),"MET")</f>
        <v>MET</v>
      </c>
      <c r="L206" s="1"/>
      <c r="M206" s="1" t="str">
        <f ca="1">IFERROR(__xludf.DUMMYFUNCTION("""COMPUTED_VALUE"""),"Faculty of Computer &amp; Information Science")</f>
        <v>Faculty of Computer &amp; Information Science</v>
      </c>
      <c r="N206" s="1"/>
      <c r="O206" s="1" t="str">
        <f ca="1">IFERROR(__xludf.DUMMYFUNCTION("""COMPUTED_VALUE"""),"1st Year")</f>
        <v>1st Year</v>
      </c>
      <c r="R206" s="1" t="s">
        <v>346</v>
      </c>
    </row>
    <row r="207" spans="1:18">
      <c r="A207" s="1" t="str">
        <f ca="1">IFERROR(__xludf.DUMMYFUNCTION("""COMPUTED_VALUE"""),"Rofida Nasr AbdElaleem Mahmoud ")</f>
        <v xml:space="preserve">Rofida Nasr AbdElaleem Mahmoud </v>
      </c>
      <c r="B207" s="1" t="str">
        <f ca="1">IFERROR(__xludf.DUMMYFUNCTION("""COMPUTED_VALUE"""),"rofidaeljindy@gmail.com")</f>
        <v>rofidaeljindy@gmail.com</v>
      </c>
      <c r="C207" s="1">
        <f ca="1">IFERROR(__xludf.DUMMYFUNCTION("""COMPUTED_VALUE"""),201005507633)</f>
        <v>201005507633</v>
      </c>
      <c r="D207" s="1" t="str">
        <f ca="1">IFERROR(__xludf.DUMMYFUNCTION("""COMPUTED_VALUE"""),"Mansora ")</f>
        <v xml:space="preserve">Mansora </v>
      </c>
      <c r="E207" s="12" t="str">
        <f ca="1">IFERROR(__xludf.DUMMYFUNCTION("""COMPUTED_VALUE"""),"https://www.facebook.com/profile.php?id=61566816092576&amp;mibextid=ZbWKwL")</f>
        <v>https://www.facebook.com/profile.php?id=61566816092576&amp;mibextid=ZbWKwL</v>
      </c>
      <c r="F207" s="1" t="str">
        <f ca="1">IFERROR(__xludf.DUMMYFUNCTION("""COMPUTED_VALUE"""),"Rofida  Nasr")</f>
        <v>Rofida  Nasr</v>
      </c>
      <c r="G207" s="1"/>
      <c r="H207" s="1"/>
      <c r="I207" s="1"/>
      <c r="J207" s="1"/>
      <c r="K207" s="1" t="str">
        <f ca="1">IFERROR(__xludf.DUMMYFUNCTION("""COMPUTED_VALUE"""),"Mansoura University")</f>
        <v>Mansoura University</v>
      </c>
      <c r="L207" s="1"/>
      <c r="M207" s="1" t="str">
        <f ca="1">IFERROR(__xludf.DUMMYFUNCTION("""COMPUTED_VALUE"""),"Faculty of Computer &amp; Information Science")</f>
        <v>Faculty of Computer &amp; Information Science</v>
      </c>
      <c r="N207" s="1"/>
      <c r="O207" s="1" t="str">
        <f ca="1">IFERROR(__xludf.DUMMYFUNCTION("""COMPUTED_VALUE"""),"1st Year")</f>
        <v>1st Year</v>
      </c>
      <c r="R207" s="1" t="s">
        <v>347</v>
      </c>
    </row>
    <row r="208" spans="1:18">
      <c r="A208" s="1" t="str">
        <f ca="1">IFERROR(__xludf.DUMMYFUNCTION("""COMPUTED_VALUE"""),"Zeyad mohamed Ahmed Ahmed El-Gedawi")</f>
        <v>Zeyad mohamed Ahmed Ahmed El-Gedawi</v>
      </c>
      <c r="B208" s="1" t="str">
        <f ca="1">IFERROR(__xludf.DUMMYFUNCTION("""COMPUTED_VALUE"""),"zeadmoklh@gmail.com")</f>
        <v>zeadmoklh@gmail.com</v>
      </c>
      <c r="C208" s="1">
        <f ca="1">IFERROR(__xludf.DUMMYFUNCTION("""COMPUTED_VALUE"""),201004919126)</f>
        <v>201004919126</v>
      </c>
      <c r="D208" s="1" t="str">
        <f ca="1">IFERROR(__xludf.DUMMYFUNCTION("""COMPUTED_VALUE"""),"Matareya, Dakahlia, Egypt")</f>
        <v>Matareya, Dakahlia, Egypt</v>
      </c>
      <c r="E208" s="12" t="str">
        <f ca="1">IFERROR(__xludf.DUMMYFUNCTION("""COMPUTED_VALUE"""),"https://www.facebook.com/profile.php?id=100021746573252&amp;mibextid=ZbWKwL")</f>
        <v>https://www.facebook.com/profile.php?id=100021746573252&amp;mibextid=ZbWKwL</v>
      </c>
      <c r="F208" s="1" t="str">
        <f ca="1">IFERROR(__xludf.DUMMYFUNCTION("""COMPUTED_VALUE"""),"zeyad0270_54086")</f>
        <v>zeyad0270_54086</v>
      </c>
      <c r="G208" s="1"/>
      <c r="H208" s="1"/>
      <c r="I208" s="1"/>
      <c r="J208" s="1"/>
      <c r="K208" s="1" t="str">
        <f ca="1">IFERROR(__xludf.DUMMYFUNCTION("""COMPUTED_VALUE"""),"Mansoura University")</f>
        <v>Mansoura University</v>
      </c>
      <c r="L208" s="1"/>
      <c r="M208" s="1" t="str">
        <f ca="1">IFERROR(__xludf.DUMMYFUNCTION("""COMPUTED_VALUE"""),"Faculty of Computer &amp; Information Science")</f>
        <v>Faculty of Computer &amp; Information Science</v>
      </c>
      <c r="N208" s="1"/>
      <c r="O208" s="1" t="str">
        <f ca="1">IFERROR(__xludf.DUMMYFUNCTION("""COMPUTED_VALUE"""),"2nd Year")</f>
        <v>2nd Year</v>
      </c>
      <c r="R208" s="1" t="s">
        <v>348</v>
      </c>
    </row>
    <row r="209" spans="1:18">
      <c r="A209" s="1" t="str">
        <f ca="1">IFERROR(__xludf.DUMMYFUNCTION("""COMPUTED_VALUE"""),"Mohamed abdouh Amer")</f>
        <v>Mohamed abdouh Amer</v>
      </c>
      <c r="B209" s="1" t="str">
        <f ca="1">IFERROR(__xludf.DUMMYFUNCTION("""COMPUTED_VALUE"""),"mohamedabdouh@std.mans.edu.eg")</f>
        <v>mohamedabdouh@std.mans.edu.eg</v>
      </c>
      <c r="C209" s="1">
        <f ca="1">IFERROR(__xludf.DUMMYFUNCTION("""COMPUTED_VALUE"""),201014863446)</f>
        <v>201014863446</v>
      </c>
      <c r="D209" s="1" t="str">
        <f ca="1">IFERROR(__xludf.DUMMYFUNCTION("""COMPUTED_VALUE"""),"......")</f>
        <v>......</v>
      </c>
      <c r="E209" s="12" t="str">
        <f ca="1">IFERROR(__xludf.DUMMYFUNCTION("""COMPUTED_VALUE"""),"https://www.facebook.com/profile.php?id=100049079319506&amp;mibextid=ZbWKwL")</f>
        <v>https://www.facebook.com/profile.php?id=100049079319506&amp;mibextid=ZbWKwL</v>
      </c>
      <c r="F209" s="1" t="str">
        <f ca="1">IFERROR(__xludf.DUMMYFUNCTION("""COMPUTED_VALUE"""),"1210733644289810523")</f>
        <v>1210733644289810523</v>
      </c>
      <c r="G209" s="1"/>
      <c r="H209" s="12" t="str">
        <f ca="1">IFERROR(__xludf.DUMMYFUNCTION("""COMPUTED_VALUE"""),"https://www.linkedin.com/in/mohamed-amer-803016253?utm_source=share&amp;utm_campaign=share_via&amp;utm_content=profile&amp;utm_medium=android_app")</f>
        <v>https://www.linkedin.com/in/mohamed-amer-803016253?utm_source=share&amp;utm_campaign=share_via&amp;utm_content=profile&amp;utm_medium=android_app</v>
      </c>
      <c r="I209" s="1"/>
      <c r="J209" s="1"/>
      <c r="K209" s="1" t="str">
        <f ca="1">IFERROR(__xludf.DUMMYFUNCTION("""COMPUTED_VALUE"""),"Mansoura University")</f>
        <v>Mansoura University</v>
      </c>
      <c r="L209" s="1"/>
      <c r="M209" s="1" t="str">
        <f ca="1">IFERROR(__xludf.DUMMYFUNCTION("""COMPUTED_VALUE"""),"Faculty of Engineering")</f>
        <v>Faculty of Engineering</v>
      </c>
      <c r="N209" s="1"/>
      <c r="O209" s="1" t="str">
        <f ca="1">IFERROR(__xludf.DUMMYFUNCTION("""COMPUTED_VALUE"""),"2nd Year")</f>
        <v>2nd Year</v>
      </c>
      <c r="R209" s="1" t="s">
        <v>349</v>
      </c>
    </row>
    <row r="210" spans="1:18">
      <c r="A210" s="1" t="str">
        <f ca="1">IFERROR(__xludf.DUMMYFUNCTION("""COMPUTED_VALUE"""),"فارس حسين الرافعي")</f>
        <v>فارس حسين الرافعي</v>
      </c>
      <c r="B210" s="1" t="str">
        <f ca="1">IFERROR(__xludf.DUMMYFUNCTION("""COMPUTED_VALUE"""),"farsalrafy@gmail.com")</f>
        <v>farsalrafy@gmail.com</v>
      </c>
      <c r="C210" s="1">
        <f ca="1">IFERROR(__xludf.DUMMYFUNCTION("""COMPUTED_VALUE"""),201097123901)</f>
        <v>201097123901</v>
      </c>
      <c r="D210" s="1" t="str">
        <f ca="1">IFERROR(__xludf.DUMMYFUNCTION("""COMPUTED_VALUE"""),"منشأة عبدالرحمن مركز دكرنس الدقهلية")</f>
        <v>منشأة عبدالرحمن مركز دكرنس الدقهلية</v>
      </c>
      <c r="E210" s="12" t="str">
        <f ca="1">IFERROR(__xludf.DUMMYFUNCTION("""COMPUTED_VALUE"""),"https://www.facebook.com/fares.husain.7?mibextid=ZbWKwL")</f>
        <v>https://www.facebook.com/fares.husain.7?mibextid=ZbWKwL</v>
      </c>
      <c r="F210" s="1" t="str">
        <f ca="1">IFERROR(__xludf.DUMMYFUNCTION("""COMPUTED_VALUE"""),"farsalrafy")</f>
        <v>farsalrafy</v>
      </c>
      <c r="G210" s="1"/>
      <c r="H210" s="1"/>
      <c r="I210" s="1"/>
      <c r="J210" s="1"/>
      <c r="K210" s="1" t="str">
        <f ca="1">IFERROR(__xludf.DUMMYFUNCTION("""COMPUTED_VALUE"""),"Mansoura University")</f>
        <v>Mansoura University</v>
      </c>
      <c r="L210" s="1"/>
      <c r="M210" s="1" t="str">
        <f ca="1">IFERROR(__xludf.DUMMYFUNCTION("""COMPUTED_VALUE"""),"Faculty of Computer &amp; Information Science")</f>
        <v>Faculty of Computer &amp; Information Science</v>
      </c>
      <c r="N210" s="1"/>
      <c r="O210" s="1" t="str">
        <f ca="1">IFERROR(__xludf.DUMMYFUNCTION("""COMPUTED_VALUE"""),"1st Year")</f>
        <v>1st Year</v>
      </c>
      <c r="R210" s="1" t="s">
        <v>350</v>
      </c>
    </row>
    <row r="211" spans="1:18">
      <c r="A211" s="1" t="str">
        <f ca="1">IFERROR(__xludf.DUMMYFUNCTION("""COMPUTED_VALUE"""),"Mariam Faried Azzam")</f>
        <v>Mariam Faried Azzam</v>
      </c>
      <c r="B211" s="1" t="str">
        <f ca="1">IFERROR(__xludf.DUMMYFUNCTION("""COMPUTED_VALUE"""),"mariamazzam2005@gmail.com")</f>
        <v>mariamazzam2005@gmail.com</v>
      </c>
      <c r="C211" s="1">
        <f ca="1">IFERROR(__xludf.DUMMYFUNCTION("""COMPUTED_VALUE"""),201096806856)</f>
        <v>201096806856</v>
      </c>
      <c r="D211" s="1" t="str">
        <f ca="1">IFERROR(__xludf.DUMMYFUNCTION("""COMPUTED_VALUE"""),"El-Mahalla El-kubra")</f>
        <v>El-Mahalla El-kubra</v>
      </c>
      <c r="E211" s="12" t="str">
        <f ca="1">IFERROR(__xludf.DUMMYFUNCTION("""COMPUTED_VALUE"""),"https://www.facebook.com/profile.php?id=100038008073901&amp;mibextid=ZbWKwL")</f>
        <v>https://www.facebook.com/profile.php?id=100038008073901&amp;mibextid=ZbWKwL</v>
      </c>
      <c r="F211" s="1" t="str">
        <f ca="1">IFERROR(__xludf.DUMMYFUNCTION("""COMPUTED_VALUE"""),"Mariam_478")</f>
        <v>Mariam_478</v>
      </c>
      <c r="G211" s="1"/>
      <c r="H211" s="1"/>
      <c r="I211" s="1"/>
      <c r="J211" s="1"/>
      <c r="K211" s="1" t="str">
        <f ca="1">IFERROR(__xludf.DUMMYFUNCTION("""COMPUTED_VALUE"""),"Mansoura University")</f>
        <v>Mansoura University</v>
      </c>
      <c r="L211" s="1"/>
      <c r="M211" s="1" t="str">
        <f ca="1">IFERROR(__xludf.DUMMYFUNCTION("""COMPUTED_VALUE"""),"Faculty of Computer &amp; Information Science")</f>
        <v>Faculty of Computer &amp; Information Science</v>
      </c>
      <c r="N211" s="1"/>
      <c r="O211" s="1" t="str">
        <f ca="1">IFERROR(__xludf.DUMMYFUNCTION("""COMPUTED_VALUE"""),"2nd Year")</f>
        <v>2nd Year</v>
      </c>
      <c r="R211" s="1" t="s">
        <v>351</v>
      </c>
    </row>
    <row r="212" spans="1:18">
      <c r="A212" s="1" t="str">
        <f ca="1">IFERROR(__xludf.DUMMYFUNCTION("""COMPUTED_VALUE"""),"Mohamed Nagy")</f>
        <v>Mohamed Nagy</v>
      </c>
      <c r="B212" s="1" t="str">
        <f ca="1">IFERROR(__xludf.DUMMYFUNCTION("""COMPUTED_VALUE"""),"m7mdelmoo@gmail.com")</f>
        <v>m7mdelmoo@gmail.com</v>
      </c>
      <c r="C212" s="1">
        <f ca="1">IFERROR(__xludf.DUMMYFUNCTION("""COMPUTED_VALUE"""),201018725932)</f>
        <v>201018725932</v>
      </c>
      <c r="D212" s="1" t="str">
        <f ca="1">IFERROR(__xludf.DUMMYFUNCTION("""COMPUTED_VALUE"""),"Mansoura")</f>
        <v>Mansoura</v>
      </c>
      <c r="E212" s="12" t="str">
        <f ca="1">IFERROR(__xludf.DUMMYFUNCTION("""COMPUTED_VALUE"""),"https://www.facebook.com/profile.php?id=100060129041760&amp;mibextid=LQQJ4d")</f>
        <v>https://www.facebook.com/profile.php?id=100060129041760&amp;mibextid=LQQJ4d</v>
      </c>
      <c r="F212" s="1" t="str">
        <f ca="1">IFERROR(__xludf.DUMMYFUNCTION("""COMPUTED_VALUE"""),"discord.com@mohamedradi0276")</f>
        <v>discord.com@mohamedradi0276</v>
      </c>
      <c r="G212" s="1"/>
      <c r="H212" s="12" t="str">
        <f ca="1">IFERROR(__xludf.DUMMYFUNCTION("""COMPUTED_VALUE"""),"http://linkedin.com/in/mohamed-nagy-a9287231b")</f>
        <v>http://linkedin.com/in/mohamed-nagy-a9287231b</v>
      </c>
      <c r="I212" s="1"/>
      <c r="J212" s="1"/>
      <c r="K212" s="1" t="str">
        <f ca="1">IFERROR(__xludf.DUMMYFUNCTION("""COMPUTED_VALUE"""),"Mansoura University")</f>
        <v>Mansoura University</v>
      </c>
      <c r="L212" s="1"/>
      <c r="M212" s="1" t="str">
        <f ca="1">IFERROR(__xludf.DUMMYFUNCTION("""COMPUTED_VALUE"""),"Faculty of Science")</f>
        <v>Faculty of Science</v>
      </c>
      <c r="N212" s="1"/>
      <c r="O212" s="1" t="str">
        <f ca="1">IFERROR(__xludf.DUMMYFUNCTION("""COMPUTED_VALUE"""),"3rd Year")</f>
        <v>3rd Year</v>
      </c>
      <c r="R212" s="1" t="s">
        <v>352</v>
      </c>
    </row>
    <row r="213" spans="1:18">
      <c r="A213" s="1" t="str">
        <f ca="1">IFERROR(__xludf.DUMMYFUNCTION("""COMPUTED_VALUE"""),"Mohamed Naguib ")</f>
        <v xml:space="preserve">Mohamed Naguib </v>
      </c>
      <c r="B213" s="1" t="str">
        <f ca="1">IFERROR(__xludf.DUMMYFUNCTION("""COMPUTED_VALUE"""),"me2572006@gmail.com")</f>
        <v>me2572006@gmail.com</v>
      </c>
      <c r="C213" s="1">
        <f ca="1">IFERROR(__xludf.DUMMYFUNCTION("""COMPUTED_VALUE"""),201061393150)</f>
        <v>201061393150</v>
      </c>
      <c r="D213" s="1" t="str">
        <f ca="1">IFERROR(__xludf.DUMMYFUNCTION("""COMPUTED_VALUE"""),"الروضة-طلخا-الدقهلية")</f>
        <v>الروضة-طلخا-الدقهلية</v>
      </c>
      <c r="E213" s="12" t="str">
        <f ca="1">IFERROR(__xludf.DUMMYFUNCTION("""COMPUTED_VALUE"""),"https://www.facebook.com/profile.php?id=100067046691127&amp;mibextid=ZbWKwL")</f>
        <v>https://www.facebook.com/profile.php?id=100067046691127&amp;mibextid=ZbWKwL</v>
      </c>
      <c r="F213" s="1" t="str">
        <f ca="1">IFERROR(__xludf.DUMMYFUNCTION("""COMPUTED_VALUE"""),"‌")</f>
        <v>‌</v>
      </c>
      <c r="G213" s="12" t="str">
        <f ca="1">IFERROR(__xludf.DUMMYFUNCTION("""COMPUTED_VALUE"""),"https://x.com/MohamedELS79988?t=fM4F3Fd_dMq-kCWpvCmqbQ&amp;s=09")</f>
        <v>https://x.com/MohamedELS79988?t=fM4F3Fd_dMq-kCWpvCmqbQ&amp;s=09</v>
      </c>
      <c r="H213" s="12" t="str">
        <f ca="1">IFERROR(__xludf.DUMMYFUNCTION("""COMPUTED_VALUE"""),"https://www.linkedin.com/in/mohamed-el-sayed-705a8b325?utm_source=share&amp;utm_campaign=share_via&amp;utm_content=profile&amp;utm_medium=android_app")</f>
        <v>https://www.linkedin.com/in/mohamed-el-sayed-705a8b325?utm_source=share&amp;utm_campaign=share_via&amp;utm_content=profile&amp;utm_medium=android_app</v>
      </c>
      <c r="I213" s="1"/>
      <c r="J213" s="1"/>
      <c r="K213" s="1" t="str">
        <f ca="1">IFERROR(__xludf.DUMMYFUNCTION("""COMPUTED_VALUE"""),"Mansoura University")</f>
        <v>Mansoura University</v>
      </c>
      <c r="L213" s="1"/>
      <c r="M213" s="1" t="str">
        <f ca="1">IFERROR(__xludf.DUMMYFUNCTION("""COMPUTED_VALUE"""),"Faculty of Computer &amp; Information Science")</f>
        <v>Faculty of Computer &amp; Information Science</v>
      </c>
      <c r="N213" s="1"/>
      <c r="O213" s="1" t="str">
        <f ca="1">IFERROR(__xludf.DUMMYFUNCTION("""COMPUTED_VALUE"""),"1st Year")</f>
        <v>1st Year</v>
      </c>
      <c r="R213" s="1" t="s">
        <v>353</v>
      </c>
    </row>
    <row r="214" spans="1:18">
      <c r="A214" s="1" t="str">
        <f ca="1">IFERROR(__xludf.DUMMYFUNCTION("""COMPUTED_VALUE"""),"Ibrahim hassan Ibrahim ")</f>
        <v xml:space="preserve">Ibrahim hassan Ibrahim </v>
      </c>
      <c r="B214" s="1" t="str">
        <f ca="1">IFERROR(__xludf.DUMMYFUNCTION("""COMPUTED_VALUE"""),"hemahassantheking@gmail.com")</f>
        <v>hemahassantheking@gmail.com</v>
      </c>
      <c r="C214" s="1">
        <f ca="1">IFERROR(__xludf.DUMMYFUNCTION("""COMPUTED_VALUE"""),201024320946)</f>
        <v>201024320946</v>
      </c>
      <c r="D214" s="1" t="str">
        <f ca="1">IFERROR(__xludf.DUMMYFUNCTION("""COMPUTED_VALUE"""),"Talkha ")</f>
        <v xml:space="preserve">Talkha </v>
      </c>
      <c r="E214" s="12" t="str">
        <f ca="1">IFERROR(__xludf.DUMMYFUNCTION("""COMPUTED_VALUE"""),"https://www.facebook.com/hema.hassan.14418101?mibextid=ZbWKwL")</f>
        <v>https://www.facebook.com/hema.hassan.14418101?mibextid=ZbWKwL</v>
      </c>
      <c r="F214" s="1" t="str">
        <f ca="1">IFERROR(__xludf.DUMMYFUNCTION("""COMPUTED_VALUE"""),"hema0188")</f>
        <v>hema0188</v>
      </c>
      <c r="G214" s="1"/>
      <c r="H214" s="1"/>
      <c r="I214" s="1"/>
      <c r="J214" s="1"/>
      <c r="K214" s="1" t="str">
        <f ca="1">IFERROR(__xludf.DUMMYFUNCTION("""COMPUTED_VALUE"""),"Mansoura University")</f>
        <v>Mansoura University</v>
      </c>
      <c r="L214" s="1"/>
      <c r="M214" s="1" t="str">
        <f ca="1">IFERROR(__xludf.DUMMYFUNCTION("""COMPUTED_VALUE"""),"Faculty of Computer &amp; Information Science")</f>
        <v>Faculty of Computer &amp; Information Science</v>
      </c>
      <c r="N214" s="1"/>
      <c r="O214" s="1" t="str">
        <f ca="1">IFERROR(__xludf.DUMMYFUNCTION("""COMPUTED_VALUE"""),"2nd Year")</f>
        <v>2nd Year</v>
      </c>
      <c r="R214" s="1" t="s">
        <v>354</v>
      </c>
    </row>
    <row r="215" spans="1:18">
      <c r="A215" s="1" t="str">
        <f ca="1">IFERROR(__xludf.DUMMYFUNCTION("""COMPUTED_VALUE"""),"Fares Ekrami Elmetwaly")</f>
        <v>Fares Ekrami Elmetwaly</v>
      </c>
      <c r="B215" s="1" t="str">
        <f ca="1">IFERROR(__xludf.DUMMYFUNCTION("""COMPUTED_VALUE"""),"farseldiip@gmail.com")</f>
        <v>farseldiip@gmail.com</v>
      </c>
      <c r="C215" s="1">
        <f ca="1">IFERROR(__xludf.DUMMYFUNCTION("""COMPUTED_VALUE"""),201027672244)</f>
        <v>201027672244</v>
      </c>
      <c r="D215" s="1" t="str">
        <f ca="1">IFERROR(__xludf.DUMMYFUNCTION("""COMPUTED_VALUE"""),"Temai el Amdid ")</f>
        <v xml:space="preserve">Temai el Amdid </v>
      </c>
      <c r="E215" s="12" t="str">
        <f ca="1">IFERROR(__xludf.DUMMYFUNCTION("""COMPUTED_VALUE"""),"https://www.facebook.com/0fars.eldiip0?mibextid=ZbWKwL")</f>
        <v>https://www.facebook.com/0fars.eldiip0?mibextid=ZbWKwL</v>
      </c>
      <c r="F215" s="1" t="str">
        <f ca="1">IFERROR(__xludf.DUMMYFUNCTION("""COMPUTED_VALUE"""),"fare_s_05")</f>
        <v>fare_s_05</v>
      </c>
      <c r="G215" s="12" t="str">
        <f ca="1">IFERROR(__xludf.DUMMYFUNCTION("""COMPUTED_VALUE"""),"https://x.com/FARES7HA6NG?t=tDBBMa3VssLq_vD1lPCMgw&amp;s=09")</f>
        <v>https://x.com/FARES7HA6NG?t=tDBBMa3VssLq_vD1lPCMgw&amp;s=09</v>
      </c>
      <c r="H215" s="12" t="str">
        <f ca="1">IFERROR(__xludf.DUMMYFUNCTION("""COMPUTED_VALUE"""),"https://www.linkedin.com/in/fares-ekrame-150560300?utm_source=share&amp;utm_campaign=share_via&amp;utm_content=profile&amp;utm_medium=android_app")</f>
        <v>https://www.linkedin.com/in/fares-ekrame-150560300?utm_source=share&amp;utm_campaign=share_via&amp;utm_content=profile&amp;utm_medium=android_app</v>
      </c>
      <c r="I215" s="1"/>
      <c r="J215" s="1"/>
      <c r="K215" s="1" t="str">
        <f ca="1">IFERROR(__xludf.DUMMYFUNCTION("""COMPUTED_VALUE"""),"Mansoura University")</f>
        <v>Mansoura University</v>
      </c>
      <c r="L215" s="1"/>
      <c r="M215" s="1" t="str">
        <f ca="1">IFERROR(__xludf.DUMMYFUNCTION("""COMPUTED_VALUE"""),"Faculty of Science")</f>
        <v>Faculty of Science</v>
      </c>
      <c r="N215" s="1"/>
      <c r="O215" s="1" t="str">
        <f ca="1">IFERROR(__xludf.DUMMYFUNCTION("""COMPUTED_VALUE"""),"2nd Year")</f>
        <v>2nd Year</v>
      </c>
      <c r="R215" s="1" t="s">
        <v>355</v>
      </c>
    </row>
    <row r="216" spans="1:18">
      <c r="A216" s="1" t="str">
        <f ca="1">IFERROR(__xludf.DUMMYFUNCTION("""COMPUTED_VALUE"""),"Mohammed Mustafa ")</f>
        <v xml:space="preserve">Mohammed Mustafa </v>
      </c>
      <c r="B216" s="1" t="str">
        <f ca="1">IFERROR(__xludf.DUMMYFUNCTION("""COMPUTED_VALUE"""),"marmn1828@gmail.com")</f>
        <v>marmn1828@gmail.com</v>
      </c>
      <c r="C216" s="1">
        <f ca="1">IFERROR(__xludf.DUMMYFUNCTION("""COMPUTED_VALUE"""),201026106060)</f>
        <v>201026106060</v>
      </c>
      <c r="D216" s="1" t="str">
        <f ca="1">IFERROR(__xludf.DUMMYFUNCTION("""COMPUTED_VALUE"""),"Mansoura ")</f>
        <v xml:space="preserve">Mansoura </v>
      </c>
      <c r="E216" s="12" t="str">
        <f ca="1">IFERROR(__xludf.DUMMYFUNCTION("""COMPUTED_VALUE"""),"https://www.facebook.com/mohamed.awad.7731g?mibextid=ZbWKwL")</f>
        <v>https://www.facebook.com/mohamed.awad.7731g?mibextid=ZbWKwL</v>
      </c>
      <c r="F216" s="1" t="str">
        <f ca="1">IFERROR(__xludf.DUMMYFUNCTION("""COMPUTED_VALUE"""),"mohammedmustafa0020")</f>
        <v>mohammedmustafa0020</v>
      </c>
      <c r="G216" s="1"/>
      <c r="H216" s="12" t="str">
        <f ca="1">IFERROR(__xludf.DUMMYFUNCTION("""COMPUTED_VALUE"""),"https://www.linkedin.com/in/mohammed-mustafa-4088961b5")</f>
        <v>https://www.linkedin.com/in/mohammed-mustafa-4088961b5</v>
      </c>
      <c r="I216" s="12" t="str">
        <f ca="1">IFERROR(__xludf.DUMMYFUNCTION("""COMPUTED_VALUE"""),"https://github.com/Mohammed209-Z")</f>
        <v>https://github.com/Mohammed209-Z</v>
      </c>
      <c r="J216" s="1"/>
      <c r="K216" s="1" t="str">
        <f ca="1">IFERROR(__xludf.DUMMYFUNCTION("""COMPUTED_VALUE"""),"Mansoura University")</f>
        <v>Mansoura University</v>
      </c>
      <c r="L216" s="1"/>
      <c r="M216" s="1" t="str">
        <f ca="1">IFERROR(__xludf.DUMMYFUNCTION("""COMPUTED_VALUE"""),"Faculty of Science")</f>
        <v>Faculty of Science</v>
      </c>
      <c r="N216" s="1"/>
      <c r="O216" s="1" t="str">
        <f ca="1">IFERROR(__xludf.DUMMYFUNCTION("""COMPUTED_VALUE"""),"2nd Year")</f>
        <v>2nd Year</v>
      </c>
      <c r="R216" s="1" t="s">
        <v>33</v>
      </c>
    </row>
    <row r="217" spans="1:18">
      <c r="A217" s="1" t="str">
        <f ca="1">IFERROR(__xludf.DUMMYFUNCTION("""COMPUTED_VALUE"""),"Janaelshayb")</f>
        <v>Janaelshayb</v>
      </c>
      <c r="B217" s="1" t="str">
        <f ca="1">IFERROR(__xludf.DUMMYFUNCTION("""COMPUTED_VALUE"""),"janaelshayb65@gmail.com")</f>
        <v>janaelshayb65@gmail.com</v>
      </c>
      <c r="C217" s="1">
        <f ca="1">IFERROR(__xludf.DUMMYFUNCTION("""COMPUTED_VALUE"""),201067678972)</f>
        <v>201067678972</v>
      </c>
      <c r="D217" s="1" t="str">
        <f ca="1">IFERROR(__xludf.DUMMYFUNCTION("""COMPUTED_VALUE"""),"Belqas")</f>
        <v>Belqas</v>
      </c>
      <c r="E217" s="12" t="str">
        <f ca="1">IFERROR(__xludf.DUMMYFUNCTION("""COMPUTED_VALUE"""),"https://www.facebook.com/jana.elshayb.7")</f>
        <v>https://www.facebook.com/jana.elshayb.7</v>
      </c>
      <c r="F217" s="1" t="str">
        <f ca="1">IFERROR(__xludf.DUMMYFUNCTION("""COMPUTED_VALUE"""),"Jana elshayb")</f>
        <v>Jana elshayb</v>
      </c>
      <c r="G217" s="12" t="str">
        <f ca="1">IFERROR(__xludf.DUMMYFUNCTION("""COMPUTED_VALUE"""),"https://x.com/janaelshayb6")</f>
        <v>https://x.com/janaelshayb6</v>
      </c>
      <c r="H217" s="12" t="str">
        <f ca="1">IFERROR(__xludf.DUMMYFUNCTION("""COMPUTED_VALUE"""),"https://www.linkedin.com/in/jana-elshayb-3a9559287?utm_source=share&amp;utm_campaign=share_via&amp;utm_content=profile&amp;utm_medium=android_app")</f>
        <v>https://www.linkedin.com/in/jana-elshayb-3a9559287?utm_source=share&amp;utm_campaign=share_via&amp;utm_content=profile&amp;utm_medium=android_app</v>
      </c>
      <c r="I217" s="1"/>
      <c r="J217" s="1"/>
      <c r="K217" s="1" t="str">
        <f ca="1">IFERROR(__xludf.DUMMYFUNCTION("""COMPUTED_VALUE"""),"Mansoura University")</f>
        <v>Mansoura University</v>
      </c>
      <c r="L217" s="1"/>
      <c r="M217" s="1" t="str">
        <f ca="1">IFERROR(__xludf.DUMMYFUNCTION("""COMPUTED_VALUE"""),"Faculty of Computer &amp; Information Science")</f>
        <v>Faculty of Computer &amp; Information Science</v>
      </c>
      <c r="N217" s="1"/>
      <c r="O217" s="1" t="str">
        <f ca="1">IFERROR(__xludf.DUMMYFUNCTION("""COMPUTED_VALUE"""),"1st Year")</f>
        <v>1st Year</v>
      </c>
      <c r="R217" s="1" t="s">
        <v>356</v>
      </c>
    </row>
    <row r="218" spans="1:18">
      <c r="A218" s="1" t="str">
        <f ca="1">IFERROR(__xludf.DUMMYFUNCTION("""COMPUTED_VALUE"""),"Ahmed Adel")</f>
        <v>Ahmed Adel</v>
      </c>
      <c r="B218" s="1" t="str">
        <f ca="1">IFERROR(__xludf.DUMMYFUNCTION("""COMPUTED_VALUE"""),"madom1191@gmail.com")</f>
        <v>madom1191@gmail.com</v>
      </c>
      <c r="C218" s="1">
        <f ca="1">IFERROR(__xludf.DUMMYFUNCTION("""COMPUTED_VALUE"""),201152337693)</f>
        <v>201152337693</v>
      </c>
      <c r="D218" s="1" t="str">
        <f ca="1">IFERROR(__xludf.DUMMYFUNCTION("""COMPUTED_VALUE"""),"Mansoura, cairo")</f>
        <v>Mansoura, cairo</v>
      </c>
      <c r="E218" s="12" t="str">
        <f ca="1">IFERROR(__xludf.DUMMYFUNCTION("""COMPUTED_VALUE"""),"https://www.facebook.com/NarutoXLoffy?mibextid=LQQJ4d")</f>
        <v>https://www.facebook.com/NarutoXLoffy?mibextid=LQQJ4d</v>
      </c>
      <c r="F218" s="1" t="str">
        <f ca="1">IFERROR(__xludf.DUMMYFUNCTION("""COMPUTED_VALUE"""),"Shesaiduwu")</f>
        <v>Shesaiduwu</v>
      </c>
      <c r="G218" s="1"/>
      <c r="H218" s="1"/>
      <c r="I218" s="1"/>
      <c r="J218" s="1"/>
      <c r="K218" s="1" t="str">
        <f ca="1">IFERROR(__xludf.DUMMYFUNCTION("""COMPUTED_VALUE"""),"Other")</f>
        <v>Other</v>
      </c>
      <c r="L218" s="1"/>
      <c r="M218" s="1" t="str">
        <f ca="1">IFERROR(__xludf.DUMMYFUNCTION("""COMPUTED_VALUE"""),"Faculty of Engineering")</f>
        <v>Faculty of Engineering</v>
      </c>
      <c r="N218" s="1"/>
      <c r="O218" s="1" t="str">
        <f ca="1">IFERROR(__xludf.DUMMYFUNCTION("""COMPUTED_VALUE"""),"3rd Year")</f>
        <v>3rd Year</v>
      </c>
      <c r="R218" s="1" t="s">
        <v>357</v>
      </c>
    </row>
    <row r="219" spans="1:18">
      <c r="A219" s="1" t="str">
        <f ca="1">IFERROR(__xludf.DUMMYFUNCTION("""COMPUTED_VALUE"""),"mohamed aly mahmoud shalaby elshenawy")</f>
        <v>mohamed aly mahmoud shalaby elshenawy</v>
      </c>
      <c r="B219" s="1" t="str">
        <f ca="1">IFERROR(__xludf.DUMMYFUNCTION("""COMPUTED_VALUE"""),"sheiko.elshenawy100@gmail.com")</f>
        <v>sheiko.elshenawy100@gmail.com</v>
      </c>
      <c r="C219" s="1">
        <f ca="1">IFERROR(__xludf.DUMMYFUNCTION("""COMPUTED_VALUE"""),201066857689)</f>
        <v>201066857689</v>
      </c>
      <c r="D219" s="1" t="str">
        <f ca="1">IFERROR(__xludf.DUMMYFUNCTION("""COMPUTED_VALUE"""),"Elamatareia dakahilia")</f>
        <v>Elamatareia dakahilia</v>
      </c>
      <c r="E219" s="12" t="str">
        <f ca="1">IFERROR(__xludf.DUMMYFUNCTION("""COMPUTED_VALUE"""),"https://www.facebook.com/mohamed.elshenawy.315428?mibextid=ZbWKwL")</f>
        <v>https://www.facebook.com/mohamed.elshenawy.315428?mibextid=ZbWKwL</v>
      </c>
      <c r="F219" s="1" t="str">
        <f ca="1">IFERROR(__xludf.DUMMYFUNCTION("""COMPUTED_VALUE"""),"mohamedalymahmoudelshenawy")</f>
        <v>mohamedalymahmoudelshenawy</v>
      </c>
      <c r="G219" s="1"/>
      <c r="H219" s="1"/>
      <c r="I219" s="1"/>
      <c r="J219" s="1"/>
      <c r="K219" s="1" t="str">
        <f ca="1">IFERROR(__xludf.DUMMYFUNCTION("""COMPUTED_VALUE"""),"Mansoura University")</f>
        <v>Mansoura University</v>
      </c>
      <c r="L219" s="1"/>
      <c r="M219" s="1" t="str">
        <f ca="1">IFERROR(__xludf.DUMMYFUNCTION("""COMPUTED_VALUE"""),"Faculty of Computer &amp; Information Science")</f>
        <v>Faculty of Computer &amp; Information Science</v>
      </c>
      <c r="N219" s="1"/>
      <c r="O219" s="1" t="str">
        <f ca="1">IFERROR(__xludf.DUMMYFUNCTION("""COMPUTED_VALUE"""),"2nd Year")</f>
        <v>2nd Year</v>
      </c>
      <c r="R219" s="1" t="s">
        <v>14</v>
      </c>
    </row>
    <row r="220" spans="1:18">
      <c r="A220" s="1" t="str">
        <f ca="1">IFERROR(__xludf.DUMMYFUNCTION("""COMPUTED_VALUE"""),"Hisham Ahmed Elnemr")</f>
        <v>Hisham Ahmed Elnemr</v>
      </c>
      <c r="B220" s="1" t="str">
        <f ca="1">IFERROR(__xludf.DUMMYFUNCTION("""COMPUTED_VALUE"""),"hishammelnmr@gmail.com")</f>
        <v>hishammelnmr@gmail.com</v>
      </c>
      <c r="C220" s="1">
        <f ca="1">IFERROR(__xludf.DUMMYFUNCTION("""COMPUTED_VALUE"""),201005717681)</f>
        <v>201005717681</v>
      </c>
      <c r="D220" s="1" t="str">
        <f ca="1">IFERROR(__xludf.DUMMYFUNCTION("""COMPUTED_VALUE"""),"Mit Ghamr")</f>
        <v>Mit Ghamr</v>
      </c>
      <c r="E220" s="12" t="str">
        <f ca="1">IFERROR(__xludf.DUMMYFUNCTION("""COMPUTED_VALUE"""),"https://www.facebook.com/hishaam.ahmedD")</f>
        <v>https://www.facebook.com/hishaam.ahmedD</v>
      </c>
      <c r="F220" s="1" t="str">
        <f ca="1">IFERROR(__xludf.DUMMYFUNCTION("""COMPUTED_VALUE"""),"hishamelnmr")</f>
        <v>hishamelnmr</v>
      </c>
      <c r="G220" s="1"/>
      <c r="H220" s="12" t="str">
        <f ca="1">IFERROR(__xludf.DUMMYFUNCTION("""COMPUTED_VALUE"""),"www.linkedin.com/in/hishamelnemr")</f>
        <v>www.linkedin.com/in/hishamelnemr</v>
      </c>
      <c r="I220" s="1"/>
      <c r="J220" s="1"/>
      <c r="K220" s="1" t="str">
        <f ca="1">IFERROR(__xludf.DUMMYFUNCTION("""COMPUTED_VALUE"""),"Mansoura University")</f>
        <v>Mansoura University</v>
      </c>
      <c r="L220" s="1"/>
      <c r="M220" s="1" t="str">
        <f ca="1">IFERROR(__xludf.DUMMYFUNCTION("""COMPUTED_VALUE"""),"Faculty of Computer &amp; Information Science")</f>
        <v>Faculty of Computer &amp; Information Science</v>
      </c>
      <c r="N220" s="1"/>
      <c r="O220" s="1" t="str">
        <f ca="1">IFERROR(__xludf.DUMMYFUNCTION("""COMPUTED_VALUE"""),"3rd Year")</f>
        <v>3rd Year</v>
      </c>
      <c r="R220" s="1" t="s">
        <v>358</v>
      </c>
    </row>
    <row r="221" spans="1:18">
      <c r="A221" s="1" t="str">
        <f ca="1">IFERROR(__xludf.DUMMYFUNCTION("""COMPUTED_VALUE"""),"دينا ابراهيم ")</f>
        <v xml:space="preserve">دينا ابراهيم </v>
      </c>
      <c r="B221" s="1" t="str">
        <f ca="1">IFERROR(__xludf.DUMMYFUNCTION("""COMPUTED_VALUE"""),"dynajwdh@gmail.com")</f>
        <v>dynajwdh@gmail.com</v>
      </c>
      <c r="C221" s="1">
        <f ca="1">IFERROR(__xludf.DUMMYFUNCTION("""COMPUTED_VALUE"""),201001362053)</f>
        <v>201001362053</v>
      </c>
      <c r="D221" s="1" t="str">
        <f ca="1">IFERROR(__xludf.DUMMYFUNCTION("""COMPUTED_VALUE"""),"المنصوره ")</f>
        <v xml:space="preserve">المنصوره </v>
      </c>
      <c r="E221" s="12" t="str">
        <f ca="1">IFERROR(__xludf.DUMMYFUNCTION("""COMPUTED_VALUE"""),"https://www.facebook.com/profile.php?id=100006130201494&amp;mibextid=kFxxJD")</f>
        <v>https://www.facebook.com/profile.php?id=100006130201494&amp;mibextid=kFxxJD</v>
      </c>
      <c r="F221" s="12" t="str">
        <f ca="1">IFERROR(__xludf.DUMMYFUNCTION("""COMPUTED_VALUE""")," https://x.com/Dina_Ibrahim23?t=sxEO1ddlbadmeUskMoAWzw&amp;s=09")</f>
        <v xml:space="preserve"> https://x.com/Dina_Ibrahim23?t=sxEO1ddlbadmeUskMoAWzw&amp;s=09</v>
      </c>
      <c r="G221" s="12" t="str">
        <f ca="1">IFERROR(__xludf.DUMMYFUNCTION("""COMPUTED_VALUE"""),"https://x.com/Dina_Ibrahim23?t=zisJewjJwJFdnxNplvriTQ&amp;s=09")</f>
        <v>https://x.com/Dina_Ibrahim23?t=zisJewjJwJFdnxNplvriTQ&amp;s=09</v>
      </c>
      <c r="H221" s="12" t="str">
        <f ca="1">IFERROR(__xludf.DUMMYFUNCTION("""COMPUTED_VALUE"""),"https://www.linkedin.com/in/dina-goda-2000432a4?utm_source=share&amp;utm_campaign=share_via&amp;utm_content=profile&amp;utm_medium=android_app")</f>
        <v>https://www.linkedin.com/in/dina-goda-2000432a4?utm_source=share&amp;utm_campaign=share_via&amp;utm_content=profile&amp;utm_medium=android_app</v>
      </c>
      <c r="I221" s="12" t="str">
        <f ca="1">IFERROR(__xludf.DUMMYFUNCTION("""COMPUTED_VALUE"""),"https://x.com/Dina_Ibrahim23?t=sxEO1ddlbadmeUskMoAWzw&amp;s=09")</f>
        <v>https://x.com/Dina_Ibrahim23?t=sxEO1ddlbadmeUskMoAWzw&amp;s=09</v>
      </c>
      <c r="J221" s="12" t="str">
        <f ca="1">IFERROR(__xludf.DUMMYFUNCTION("""COMPUTED_VALUE"""),"https://x.com/Dina_Ibrahim23?t=zisJewjJwJFdnxNplvriTQ&amp;s=09")</f>
        <v>https://x.com/Dina_Ibrahim23?t=zisJewjJwJFdnxNplvriTQ&amp;s=09</v>
      </c>
      <c r="K221" s="1" t="str">
        <f ca="1">IFERROR(__xludf.DUMMYFUNCTION("""COMPUTED_VALUE"""),"Mansoura University")</f>
        <v>Mansoura University</v>
      </c>
      <c r="L221" s="1"/>
      <c r="M221" s="1" t="str">
        <f ca="1">IFERROR(__xludf.DUMMYFUNCTION("""COMPUTED_VALUE"""),"Faculty of Computer &amp; Information Science")</f>
        <v>Faculty of Computer &amp; Information Science</v>
      </c>
      <c r="N221" s="1"/>
      <c r="O221" s="1" t="str">
        <f ca="1">IFERROR(__xludf.DUMMYFUNCTION("""COMPUTED_VALUE"""),"3rd Year")</f>
        <v>3rd Year</v>
      </c>
      <c r="R221" s="1" t="s">
        <v>359</v>
      </c>
    </row>
    <row r="222" spans="1:18">
      <c r="A222" s="1" t="str">
        <f ca="1">IFERROR(__xludf.DUMMYFUNCTION("""COMPUTED_VALUE"""),"mohammed ehab elmetwaly ")</f>
        <v xml:space="preserve">mohammed ehab elmetwaly </v>
      </c>
      <c r="B222" s="1" t="str">
        <f ca="1">IFERROR(__xludf.DUMMYFUNCTION("""COMPUTED_VALUE"""),"midoehab150@gmail.com")</f>
        <v>midoehab150@gmail.com</v>
      </c>
      <c r="C222" s="1">
        <f ca="1">IFERROR(__xludf.DUMMYFUNCTION("""COMPUTED_VALUE"""),201002540793)</f>
        <v>201002540793</v>
      </c>
      <c r="D222" s="1" t="str">
        <f ca="1">IFERROR(__xludf.DUMMYFUNCTION("""COMPUTED_VALUE"""),"mansoura")</f>
        <v>mansoura</v>
      </c>
      <c r="E222" s="12" t="str">
        <f ca="1">IFERROR(__xludf.DUMMYFUNCTION("""COMPUTED_VALUE"""),"https://www.facebook.com/mohammed.ehab.583671?mibextid=ZbWKwL")</f>
        <v>https://www.facebook.com/mohammed.ehab.583671?mibextid=ZbWKwL</v>
      </c>
      <c r="F222" s="1" t="str">
        <f ca="1">IFERROR(__xludf.DUMMYFUNCTION("""COMPUTED_VALUE"""),"mohamedehab0545_88174")</f>
        <v>mohamedehab0545_88174</v>
      </c>
      <c r="G222" s="1"/>
      <c r="H222" s="12" t="str">
        <f ca="1">IFERROR(__xludf.DUMMYFUNCTION("""COMPUTED_VALUE"""),"www.linkedin.com/in/mohamed-ehab-ba4523320")</f>
        <v>www.linkedin.com/in/mohamed-ehab-ba4523320</v>
      </c>
      <c r="I222" s="12" t="str">
        <f ca="1">IFERROR(__xludf.DUMMYFUNCTION("""COMPUTED_VALUE"""),"https://github.com/mohamedehab150")</f>
        <v>https://github.com/mohamedehab150</v>
      </c>
      <c r="J222" s="1"/>
      <c r="K222" s="1" t="str">
        <f ca="1">IFERROR(__xludf.DUMMYFUNCTION("""COMPUTED_VALUE"""),"Mansoura University")</f>
        <v>Mansoura University</v>
      </c>
      <c r="L222" s="1"/>
      <c r="M222" s="1" t="str">
        <f ca="1">IFERROR(__xludf.DUMMYFUNCTION("""COMPUTED_VALUE"""),"Faculty of Computer &amp; Information Science")</f>
        <v>Faculty of Computer &amp; Information Science</v>
      </c>
      <c r="N222" s="1"/>
      <c r="O222" s="1" t="str">
        <f ca="1">IFERROR(__xludf.DUMMYFUNCTION("""COMPUTED_VALUE"""),"3rd Year")</f>
        <v>3rd Year</v>
      </c>
      <c r="R222" s="1" t="s">
        <v>360</v>
      </c>
    </row>
    <row r="223" spans="1:18">
      <c r="A223" s="1" t="str">
        <f ca="1">IFERROR(__xludf.DUMMYFUNCTION("""COMPUTED_VALUE"""),"Zeyad M9hamed Mohamed Ahmed Abo Bedair")</f>
        <v>Zeyad M9hamed Mohamed Ahmed Abo Bedair</v>
      </c>
      <c r="B223" s="1" t="str">
        <f ca="1">IFERROR(__xludf.DUMMYFUNCTION("""COMPUTED_VALUE"""),"zeyadbedair0@gmail.com")</f>
        <v>zeyadbedair0@gmail.com</v>
      </c>
      <c r="C223" s="1">
        <f ca="1">IFERROR(__xludf.DUMMYFUNCTION("""COMPUTED_VALUE"""),201021069115)</f>
        <v>201021069115</v>
      </c>
      <c r="D223" s="1" t="str">
        <f ca="1">IFERROR(__xludf.DUMMYFUNCTION("""COMPUTED_VALUE"""),"منشأة عبدالرحمن- دكرنس")</f>
        <v>منشأة عبدالرحمن- دكرنس</v>
      </c>
      <c r="E223" s="12" t="str">
        <f ca="1">IFERROR(__xludf.DUMMYFUNCTION("""COMPUTED_VALUE"""),"https://www.facebook.com/zeyad.bedair.10?mibextid=JRoKGi")</f>
        <v>https://www.facebook.com/zeyad.bedair.10?mibextid=JRoKGi</v>
      </c>
      <c r="F223" s="1" t="str">
        <f ca="1">IFERROR(__xludf.DUMMYFUNCTION("""COMPUTED_VALUE"""),"Zeyad Bedair ")</f>
        <v xml:space="preserve">Zeyad Bedair </v>
      </c>
      <c r="G223" s="1"/>
      <c r="H223" s="12" t="str">
        <f ca="1">IFERROR(__xludf.DUMMYFUNCTION("""COMPUTED_VALUE"""),"https://www.linkedin.com/in/zeyad-bedair-87ba69308?utm_source=share&amp;utm_campaign=share_via&amp;utm_content=profile&amp;utm_medium=android_app")</f>
        <v>https://www.linkedin.com/in/zeyad-bedair-87ba69308?utm_source=share&amp;utm_campaign=share_via&amp;utm_content=profile&amp;utm_medium=android_app</v>
      </c>
      <c r="I223" s="1"/>
      <c r="J223" s="1"/>
      <c r="K223" s="1" t="str">
        <f ca="1">IFERROR(__xludf.DUMMYFUNCTION("""COMPUTED_VALUE"""),"Mansoura University")</f>
        <v>Mansoura University</v>
      </c>
      <c r="L223" s="1"/>
      <c r="M223" s="1" t="str">
        <f ca="1">IFERROR(__xludf.DUMMYFUNCTION("""COMPUTED_VALUE"""),"Faculty of Computer &amp; Information Science")</f>
        <v>Faculty of Computer &amp; Information Science</v>
      </c>
      <c r="N223" s="1"/>
      <c r="O223" s="1" t="str">
        <f ca="1">IFERROR(__xludf.DUMMYFUNCTION("""COMPUTED_VALUE"""),"2nd Year")</f>
        <v>2nd Year</v>
      </c>
      <c r="R223" s="1" t="s">
        <v>361</v>
      </c>
    </row>
    <row r="224" spans="1:18">
      <c r="A224" s="1" t="str">
        <f ca="1">IFERROR(__xludf.DUMMYFUNCTION("""COMPUTED_VALUE"""),"yomna khaled mohmed mahmoud ")</f>
        <v xml:space="preserve">yomna khaled mohmed mahmoud </v>
      </c>
      <c r="B224" s="1" t="str">
        <f ca="1">IFERROR(__xludf.DUMMYFUNCTION("""COMPUTED_VALUE"""),"mo223kle@gmail.com")</f>
        <v>mo223kle@gmail.com</v>
      </c>
      <c r="C224" s="1">
        <f ca="1">IFERROR(__xludf.DUMMYFUNCTION("""COMPUTED_VALUE"""),201063782316)</f>
        <v>201063782316</v>
      </c>
      <c r="D224" s="1" t="str">
        <f ca="1">IFERROR(__xludf.DUMMYFUNCTION("""COMPUTED_VALUE""")," El Mansoura")</f>
        <v xml:space="preserve"> El Mansoura</v>
      </c>
      <c r="E224" s="12" t="str">
        <f ca="1">IFERROR(__xludf.DUMMYFUNCTION("""COMPUTED_VALUE"""),"https://www.facebook.com/share/1AjkeYr2oc/?mibextid=qi2Omg")</f>
        <v>https://www.facebook.com/share/1AjkeYr2oc/?mibextid=qi2Omg</v>
      </c>
      <c r="F224" s="1" t="str">
        <f ca="1">IFERROR(__xludf.DUMMYFUNCTION("""COMPUTED_VALUE"""),"  https://Discord.com/yomna-khaled1 yomnakhaled_86450")</f>
        <v xml:space="preserve">  https://Discord.com/yomna-khaled1 yomnakhaled_86450</v>
      </c>
      <c r="G224" s="12" t="str">
        <f ca="1">IFERROR(__xludf.DUMMYFUNCTION("""COMPUTED_VALUE"""),"https://www.behance.net/mostafaramadan51")</f>
        <v>https://www.behance.net/mostafaramadan51</v>
      </c>
      <c r="H224" s="12" t="str">
        <f ca="1">IFERROR(__xludf.DUMMYFUNCTION("""COMPUTED_VALUE"""),"http://linkedin.com/in/yomna-khaled-0429692a9")</f>
        <v>http://linkedin.com/in/yomna-khaled-0429692a9</v>
      </c>
      <c r="I224" s="12" t="str">
        <f ca="1">IFERROR(__xludf.DUMMYFUNCTION("""COMPUTED_VALUE"""),"https://github.com/yomna-khaled1")</f>
        <v>https://github.com/yomna-khaled1</v>
      </c>
      <c r="J224" s="12" t="str">
        <f ca="1">IFERROR(__xludf.DUMMYFUNCTION("""COMPUTED_VALUE"""),"https://www.behance.net/mostafaramadan51")</f>
        <v>https://www.behance.net/mostafaramadan51</v>
      </c>
      <c r="K224" s="1" t="str">
        <f ca="1">IFERROR(__xludf.DUMMYFUNCTION("""COMPUTED_VALUE"""),"Mansoura University")</f>
        <v>Mansoura University</v>
      </c>
      <c r="L224" s="1"/>
      <c r="M224" s="1" t="str">
        <f ca="1">IFERROR(__xludf.DUMMYFUNCTION("""COMPUTED_VALUE"""),"Faculty of Computer &amp; Information Science")</f>
        <v>Faculty of Computer &amp; Information Science</v>
      </c>
      <c r="N224" s="1"/>
      <c r="O224" s="1" t="str">
        <f ca="1">IFERROR(__xludf.DUMMYFUNCTION("""COMPUTED_VALUE"""),"2nd Year")</f>
        <v>2nd Year</v>
      </c>
      <c r="R224" s="1" t="s">
        <v>362</v>
      </c>
    </row>
    <row r="225" spans="1:18">
      <c r="A225" s="1" t="str">
        <f ca="1">IFERROR(__xludf.DUMMYFUNCTION("""COMPUTED_VALUE"""),"احمد عادل")</f>
        <v>احمد عادل</v>
      </c>
      <c r="B225" s="1" t="str">
        <f ca="1">IFERROR(__xludf.DUMMYFUNCTION("""COMPUTED_VALUE"""),"yfhjjkhgjkhcdh@gmail.com")</f>
        <v>yfhjjkhgjkhcdh@gmail.com</v>
      </c>
      <c r="C225" s="1">
        <f ca="1">IFERROR(__xludf.DUMMYFUNCTION("""COMPUTED_VALUE"""),201066768420)</f>
        <v>201066768420</v>
      </c>
      <c r="D225" s="1" t="str">
        <f ca="1">IFERROR(__xludf.DUMMYFUNCTION("""COMPUTED_VALUE"""),"المنصورة ")</f>
        <v xml:space="preserve">المنصورة </v>
      </c>
      <c r="E225" s="12" t="str">
        <f ca="1">IFERROR(__xludf.DUMMYFUNCTION("""COMPUTED_VALUE"""),"https://www.facebook.com/share/1ArFg771pu/")</f>
        <v>https://www.facebook.com/share/1ArFg771pu/</v>
      </c>
      <c r="F225" s="1" t="str">
        <f ca="1">IFERROR(__xludf.DUMMYFUNCTION("""COMPUTED_VALUE"""),"Ahmed Adel Alqenawy ")</f>
        <v xml:space="preserve">Ahmed Adel Alqenawy </v>
      </c>
      <c r="G225" s="12" t="str">
        <f ca="1">IFERROR(__xludf.DUMMYFUNCTION("""COMPUTED_VALUE"""),"https://x.com/ahmdadl09651783?t=pADyQj7nzpNeljahgCKxJQ&amp;s=09")</f>
        <v>https://x.com/ahmdadl09651783?t=pADyQj7nzpNeljahgCKxJQ&amp;s=09</v>
      </c>
      <c r="H225" s="12" t="str">
        <f ca="1">IFERROR(__xludf.DUMMYFUNCTION("""COMPUTED_VALUE"""),"https://eg.linkedin.com/in/%D8%A7%D8%AD%D9%85%D8%AF-%D8%B9%D8%A7%D8%AF%D9%84-10337833a")</f>
        <v>https://eg.linkedin.com/in/%D8%A7%D8%AD%D9%85%D8%AF-%D8%B9%D8%A7%D8%AF%D9%84-10337833a</v>
      </c>
      <c r="I225" s="1"/>
      <c r="J225" s="1"/>
      <c r="K225" s="1" t="str">
        <f ca="1">IFERROR(__xludf.DUMMYFUNCTION("""COMPUTED_VALUE"""),"Mansoura University")</f>
        <v>Mansoura University</v>
      </c>
      <c r="L225" s="1"/>
      <c r="M225" s="1" t="str">
        <f ca="1">IFERROR(__xludf.DUMMYFUNCTION("""COMPUTED_VALUE"""),"Faculty of Computer &amp; Information Science")</f>
        <v>Faculty of Computer &amp; Information Science</v>
      </c>
      <c r="N225" s="1"/>
      <c r="O225" s="1" t="str">
        <f ca="1">IFERROR(__xludf.DUMMYFUNCTION("""COMPUTED_VALUE"""),"1st Year")</f>
        <v>1st Year</v>
      </c>
      <c r="R225" s="1" t="s">
        <v>363</v>
      </c>
    </row>
    <row r="226" spans="1:18">
      <c r="A226" s="1" t="str">
        <f ca="1">IFERROR(__xludf.DUMMYFUNCTION("""COMPUTED_VALUE"""),"Sohaib Qassem")</f>
        <v>Sohaib Qassem</v>
      </c>
      <c r="B226" s="1" t="str">
        <f ca="1">IFERROR(__xludf.DUMMYFUNCTION("""COMPUTED_VALUE"""),"sohibkasem@gmail.com")</f>
        <v>sohibkasem@gmail.com</v>
      </c>
      <c r="C226" s="1">
        <f ca="1">IFERROR(__xludf.DUMMYFUNCTION("""COMPUTED_VALUE"""),201018897319)</f>
        <v>201018897319</v>
      </c>
      <c r="D226" s="1" t="str">
        <f ca="1">IFERROR(__xludf.DUMMYFUNCTION("""COMPUTED_VALUE"""),"mansoura")</f>
        <v>mansoura</v>
      </c>
      <c r="E226" s="12" t="str">
        <f ca="1">IFERROR(__xludf.DUMMYFUNCTION("""COMPUTED_VALUE"""),"https://www.facebook.com/profile.php?id=100035278334460&amp;mibextid=ZbWKwL")</f>
        <v>https://www.facebook.com/profile.php?id=100035278334460&amp;mibextid=ZbWKwL</v>
      </c>
      <c r="F226" s="1" t="str">
        <f ca="1">IFERROR(__xludf.DUMMYFUNCTION("""COMPUTED_VALUE"""),"sohaib_kasem")</f>
        <v>sohaib_kasem</v>
      </c>
      <c r="G226" s="1"/>
      <c r="H226" s="1"/>
      <c r="I226" s="1"/>
      <c r="J226" s="1"/>
      <c r="K226" s="1" t="str">
        <f ca="1">IFERROR(__xludf.DUMMYFUNCTION("""COMPUTED_VALUE"""),"Mansoura University")</f>
        <v>Mansoura University</v>
      </c>
      <c r="L226" s="1"/>
      <c r="M226" s="1" t="str">
        <f ca="1">IFERROR(__xludf.DUMMYFUNCTION("""COMPUTED_VALUE"""),"Faculty of Computer &amp; Information Science")</f>
        <v>Faculty of Computer &amp; Information Science</v>
      </c>
      <c r="N226" s="1"/>
      <c r="O226" s="1" t="str">
        <f ca="1">IFERROR(__xludf.DUMMYFUNCTION("""COMPUTED_VALUE"""),"3rd Year")</f>
        <v>3rd Year</v>
      </c>
      <c r="R226" s="1" t="s">
        <v>364</v>
      </c>
    </row>
    <row r="227" spans="1:18">
      <c r="A227" s="1" t="str">
        <f ca="1">IFERROR(__xludf.DUMMYFUNCTION("""COMPUTED_VALUE"""),"ياسمين علاء الدين عبد السلام ")</f>
        <v xml:space="preserve">ياسمين علاء الدين عبد السلام </v>
      </c>
      <c r="B227" s="1" t="str">
        <f ca="1">IFERROR(__xludf.DUMMYFUNCTION("""COMPUTED_VALUE"""),"yasmeenalaaalden11@gmail.com")</f>
        <v>yasmeenalaaalden11@gmail.com</v>
      </c>
      <c r="C227" s="1">
        <f ca="1">IFERROR(__xludf.DUMMYFUNCTION("""COMPUTED_VALUE"""),201141634914)</f>
        <v>201141634914</v>
      </c>
      <c r="D227" s="1" t="str">
        <f ca="1">IFERROR(__xludf.DUMMYFUNCTION("""COMPUTED_VALUE"""),"بنى عبيد ")</f>
        <v xml:space="preserve">بنى عبيد </v>
      </c>
      <c r="E227" s="12" t="str">
        <f ca="1">IFERROR(__xludf.DUMMYFUNCTION("""COMPUTED_VALUE"""),"https://www.facebook.com/profile.php?id=100086357412653&amp;mibextid=ZbWKwL")</f>
        <v>https://www.facebook.com/profile.php?id=100086357412653&amp;mibextid=ZbWKwL</v>
      </c>
      <c r="F227" s="1" t="str">
        <f ca="1">IFERROR(__xludf.DUMMYFUNCTION("""COMPUTED_VALUE"""),"Fhbb")</f>
        <v>Fhbb</v>
      </c>
      <c r="G227" s="1"/>
      <c r="H227" s="1"/>
      <c r="I227" s="1"/>
      <c r="J227" s="1"/>
      <c r="K227" s="1" t="str">
        <f ca="1">IFERROR(__xludf.DUMMYFUNCTION("""COMPUTED_VALUE"""),"Mansoura University")</f>
        <v>Mansoura University</v>
      </c>
      <c r="L227" s="1"/>
      <c r="M227" s="1" t="str">
        <f ca="1">IFERROR(__xludf.DUMMYFUNCTION("""COMPUTED_VALUE"""),"Faculty of Computer &amp; Information Science")</f>
        <v>Faculty of Computer &amp; Information Science</v>
      </c>
      <c r="N227" s="1"/>
      <c r="O227" s="1" t="str">
        <f ca="1">IFERROR(__xludf.DUMMYFUNCTION("""COMPUTED_VALUE"""),"1st Year")</f>
        <v>1st Year</v>
      </c>
      <c r="R227" s="1" t="s">
        <v>365</v>
      </c>
    </row>
    <row r="228" spans="1:18">
      <c r="A228" s="1" t="str">
        <f ca="1">IFERROR(__xludf.DUMMYFUNCTION("""COMPUTED_VALUE"""),"Yara Saleh Saleh Alghatas")</f>
        <v>Yara Saleh Saleh Alghatas</v>
      </c>
      <c r="B228" s="1" t="str">
        <f ca="1">IFERROR(__xludf.DUMMYFUNCTION("""COMPUTED_VALUE"""),"yarasaleh905@gmail.com")</f>
        <v>yarasaleh905@gmail.com</v>
      </c>
      <c r="C228" s="1">
        <f ca="1">IFERROR(__xludf.DUMMYFUNCTION("""COMPUTED_VALUE"""),201011873715)</f>
        <v>201011873715</v>
      </c>
      <c r="D228" s="1" t="str">
        <f ca="1">IFERROR(__xludf.DUMMYFUNCTION("""COMPUTED_VALUE"""),"Talkha")</f>
        <v>Talkha</v>
      </c>
      <c r="E228" s="12" t="str">
        <f ca="1">IFERROR(__xludf.DUMMYFUNCTION("""COMPUTED_VALUE"""),"https://www.facebook.com/profile.php?id=61555994852457")</f>
        <v>https://www.facebook.com/profile.php?id=61555994852457</v>
      </c>
      <c r="F228" s="1" t="str">
        <f ca="1">IFERROR(__xludf.DUMMYFUNCTION("""COMPUTED_VALUE"""),"yara0860")</f>
        <v>yara0860</v>
      </c>
      <c r="G228" s="1"/>
      <c r="H228" s="12" t="str">
        <f ca="1">IFERROR(__xludf.DUMMYFUNCTION("""COMPUTED_VALUE"""),"https://www.linkedin.com/in/yara-saleh-910504307?utm_source=share&amp;utm_campaign=share_via&amp;utm_content=profile&amp;utm_medium=android_app")</f>
        <v>https://www.linkedin.com/in/yara-saleh-910504307?utm_source=share&amp;utm_campaign=share_via&amp;utm_content=profile&amp;utm_medium=android_app</v>
      </c>
      <c r="I228" s="1"/>
      <c r="J228" s="1"/>
      <c r="K228" s="1" t="str">
        <f ca="1">IFERROR(__xludf.DUMMYFUNCTION("""COMPUTED_VALUE"""),"Mansoura University")</f>
        <v>Mansoura University</v>
      </c>
      <c r="L228" s="1"/>
      <c r="M228" s="1" t="str">
        <f ca="1">IFERROR(__xludf.DUMMYFUNCTION("""COMPUTED_VALUE"""),"Other")</f>
        <v>Other</v>
      </c>
      <c r="N228" s="1" t="str">
        <f ca="1">IFERROR(__xludf.DUMMYFUNCTION("""COMPUTED_VALUE"""),"Art")</f>
        <v>Art</v>
      </c>
      <c r="O228" s="1" t="str">
        <f ca="1">IFERROR(__xludf.DUMMYFUNCTION("""COMPUTED_VALUE"""),"2nd Year")</f>
        <v>2nd Year</v>
      </c>
      <c r="R228" s="1" t="s">
        <v>366</v>
      </c>
    </row>
    <row r="229" spans="1:18">
      <c r="A229" s="1" t="str">
        <f ca="1">IFERROR(__xludf.DUMMYFUNCTION("""COMPUTED_VALUE"""),"Mohamed Ayman Mohamed Reda")</f>
        <v>Mohamed Ayman Mohamed Reda</v>
      </c>
      <c r="B229" s="1" t="str">
        <f ca="1">IFERROR(__xludf.DUMMYFUNCTION("""COMPUTED_VALUE"""),"mohamedayman5576@gmail.com")</f>
        <v>mohamedayman5576@gmail.com</v>
      </c>
      <c r="C229" s="1">
        <f ca="1">IFERROR(__xludf.DUMMYFUNCTION("""COMPUTED_VALUE"""),201090767139)</f>
        <v>201090767139</v>
      </c>
      <c r="D229" s="1" t="str">
        <f ca="1">IFERROR(__xludf.DUMMYFUNCTION("""COMPUTED_VALUE"""),"Dakahlia - Mansoura - Gedila - Behind health insurance - Asaad street")</f>
        <v>Dakahlia - Mansoura - Gedila - Behind health insurance - Asaad street</v>
      </c>
      <c r="E229" s="12" t="str">
        <f ca="1">IFERROR(__xludf.DUMMYFUNCTION("""COMPUTED_VALUE"""),"https://www.facebook.com/profile.php?id=100008268288524")</f>
        <v>https://www.facebook.com/profile.php?id=100008268288524</v>
      </c>
      <c r="F229" s="12" t="str">
        <f ca="1">IFERROR(__xludf.DUMMYFUNCTION("""COMPUTED_VALUE"""),"https://discord.com/users/1047586923855741048")</f>
        <v>https://discord.com/users/1047586923855741048</v>
      </c>
      <c r="G229" s="12" t="str">
        <f ca="1">IFERROR(__xludf.DUMMYFUNCTION("""COMPUTED_VALUE"""),"https://x.com/Mohamed98727447")</f>
        <v>https://x.com/Mohamed98727447</v>
      </c>
      <c r="H229" s="12" t="str">
        <f ca="1">IFERROR(__xludf.DUMMYFUNCTION("""COMPUTED_VALUE"""),"https://www.linkedin.com/in/mohamed-ayman-984a8931b/")</f>
        <v>https://www.linkedin.com/in/mohamed-ayman-984a8931b/</v>
      </c>
      <c r="I229" s="12" t="str">
        <f ca="1">IFERROR(__xludf.DUMMYFUNCTION("""COMPUTED_VALUE"""),"https://github.com/MohamdAymn")</f>
        <v>https://github.com/MohamdAymn</v>
      </c>
      <c r="J229" s="12" t="str">
        <f ca="1">IFERROR(__xludf.DUMMYFUNCTION("""COMPUTED_VALUE"""),"https://www.behance.net/mohamedayman478")</f>
        <v>https://www.behance.net/mohamedayman478</v>
      </c>
      <c r="K229" s="1" t="str">
        <f ca="1">IFERROR(__xludf.DUMMYFUNCTION("""COMPUTED_VALUE"""),"Mansoura University")</f>
        <v>Mansoura University</v>
      </c>
      <c r="L229" s="1"/>
      <c r="M229" s="1" t="str">
        <f ca="1">IFERROR(__xludf.DUMMYFUNCTION("""COMPUTED_VALUE"""),"Faculty of Computer &amp; Information Science")</f>
        <v>Faculty of Computer &amp; Information Science</v>
      </c>
      <c r="N229" s="1"/>
      <c r="O229" s="1" t="str">
        <f ca="1">IFERROR(__xludf.DUMMYFUNCTION("""COMPUTED_VALUE"""),"3rd Year")</f>
        <v>3rd Year</v>
      </c>
      <c r="R229" s="1" t="s">
        <v>367</v>
      </c>
    </row>
    <row r="230" spans="1:18">
      <c r="A230" s="1" t="str">
        <f ca="1">IFERROR(__xludf.DUMMYFUNCTION("""COMPUTED_VALUE"""),"Omar Lokam")</f>
        <v>Omar Lokam</v>
      </c>
      <c r="B230" s="1" t="str">
        <f ca="1">IFERROR(__xludf.DUMMYFUNCTION("""COMPUTED_VALUE"""),"omarlokaum8@gmail.com")</f>
        <v>omarlokaum8@gmail.com</v>
      </c>
      <c r="C230" s="1">
        <f ca="1">IFERROR(__xludf.DUMMYFUNCTION("""COMPUTED_VALUE"""),201061057606)</f>
        <v>201061057606</v>
      </c>
      <c r="D230" s="1" t="str">
        <f ca="1">IFERROR(__xludf.DUMMYFUNCTION("""COMPUTED_VALUE"""),"Elmanzala")</f>
        <v>Elmanzala</v>
      </c>
      <c r="E230" s="12" t="str">
        <f ca="1">IFERROR(__xludf.DUMMYFUNCTION("""COMPUTED_VALUE"""),"https://www.facebook.com/omar.lokam.5?mibextid=ZbWKwL")</f>
        <v>https://www.facebook.com/omar.lokam.5?mibextid=ZbWKwL</v>
      </c>
      <c r="F230" s="12" t="str">
        <f ca="1">IFERROR(__xludf.DUMMYFUNCTION("""COMPUTED_VALUE"""),"https://discordapp.com/users/1309904912972255265")</f>
        <v>https://discordapp.com/users/1309904912972255265</v>
      </c>
      <c r="G230" s="12" t="str">
        <f ca="1">IFERROR(__xludf.DUMMYFUNCTION("""COMPUTED_VALUE"""),"https://x.com/OMAR_LOKAM?t=gaXM2iOcRwCJOqo2Lf6n4w&amp;s=09")</f>
        <v>https://x.com/OMAR_LOKAM?t=gaXM2iOcRwCJOqo2Lf6n4w&amp;s=09</v>
      </c>
      <c r="H230" s="1"/>
      <c r="I230" s="12" t="str">
        <f ca="1">IFERROR(__xludf.DUMMYFUNCTION("""COMPUTED_VALUE"""),"https://github.com/OmarLokam")</f>
        <v>https://github.com/OmarLokam</v>
      </c>
      <c r="J230" s="12" t="str">
        <f ca="1">IFERROR(__xludf.DUMMYFUNCTION("""COMPUTED_VALUE"""),"www.None.com")</f>
        <v>www.None.com</v>
      </c>
      <c r="K230" s="1" t="str">
        <f ca="1">IFERROR(__xludf.DUMMYFUNCTION("""COMPUTED_VALUE"""),"Mansoura University")</f>
        <v>Mansoura University</v>
      </c>
      <c r="L230" s="1"/>
      <c r="M230" s="1" t="str">
        <f ca="1">IFERROR(__xludf.DUMMYFUNCTION("""COMPUTED_VALUE"""),"Faculty of Computer &amp; Information Science")</f>
        <v>Faculty of Computer &amp; Information Science</v>
      </c>
      <c r="N230" s="1"/>
      <c r="O230" s="1" t="str">
        <f ca="1">IFERROR(__xludf.DUMMYFUNCTION("""COMPUTED_VALUE"""),"1st Year")</f>
        <v>1st Year</v>
      </c>
      <c r="R230" s="1" t="s">
        <v>368</v>
      </c>
    </row>
    <row r="231" spans="1:18">
      <c r="A231" s="1" t="str">
        <f ca="1">IFERROR(__xludf.DUMMYFUNCTION("""COMPUTED_VALUE"""),"Salma Moustfa Mahfouz ")</f>
        <v xml:space="preserve">Salma Moustfa Mahfouz </v>
      </c>
      <c r="B231" s="1" t="str">
        <f ca="1">IFERROR(__xludf.DUMMYFUNCTION("""COMPUTED_VALUE"""),"salma.mostafa6578@gmail.com")</f>
        <v>salma.mostafa6578@gmail.com</v>
      </c>
      <c r="C231" s="1">
        <f ca="1">IFERROR(__xludf.DUMMYFUNCTION("""COMPUTED_VALUE"""),201015060504)</f>
        <v>201015060504</v>
      </c>
      <c r="D231" s="1" t="str">
        <f ca="1">IFERROR(__xludf.DUMMYFUNCTION("""COMPUTED_VALUE"""),"Mansoura")</f>
        <v>Mansoura</v>
      </c>
      <c r="E231" s="12" t="str">
        <f ca="1">IFERROR(__xludf.DUMMYFUNCTION("""COMPUTED_VALUE"""),"https://www.facebook.com/salma.moustfa.18/")</f>
        <v>https://www.facebook.com/salma.moustfa.18/</v>
      </c>
      <c r="F231" s="12" t="str">
        <f ca="1">IFERROR(__xludf.DUMMYFUNCTION("""COMPUTED_VALUE"""),"https://discord.gg/Tf3FQQbq")</f>
        <v>https://discord.gg/Tf3FQQbq</v>
      </c>
      <c r="G231" s="1"/>
      <c r="H231" s="12" t="str">
        <f ca="1">IFERROR(__xludf.DUMMYFUNCTION("""COMPUTED_VALUE"""),"https://www.linkedin.com/in/salma-mostafa-6a369427a?utm_source=share&amp;utm_campaign=share_via&amp;utm_content=profile&amp;utm_medium=android_app")</f>
        <v>https://www.linkedin.com/in/salma-mostafa-6a369427a?utm_source=share&amp;utm_campaign=share_via&amp;utm_content=profile&amp;utm_medium=android_app</v>
      </c>
      <c r="I231" s="1"/>
      <c r="J231" s="1"/>
      <c r="K231" s="1" t="str">
        <f ca="1">IFERROR(__xludf.DUMMYFUNCTION("""COMPUTED_VALUE"""),"MET")</f>
        <v>MET</v>
      </c>
      <c r="L231" s="1"/>
      <c r="M231" s="1" t="str">
        <f ca="1">IFERROR(__xludf.DUMMYFUNCTION("""COMPUTED_VALUE"""),"Faculty of Computer &amp; Information Science")</f>
        <v>Faculty of Computer &amp; Information Science</v>
      </c>
      <c r="N231" s="1"/>
      <c r="O231" s="1" t="str">
        <f ca="1">IFERROR(__xludf.DUMMYFUNCTION("""COMPUTED_VALUE"""),"3rd Year")</f>
        <v>3rd Year</v>
      </c>
      <c r="R231" s="1" t="s">
        <v>369</v>
      </c>
    </row>
    <row r="232" spans="1:18">
      <c r="A232" s="1" t="str">
        <f ca="1">IFERROR(__xludf.DUMMYFUNCTION("""COMPUTED_VALUE"""),"Donia Ebrahim")</f>
        <v>Donia Ebrahim</v>
      </c>
      <c r="B232" s="1" t="str">
        <f ca="1">IFERROR(__xludf.DUMMYFUNCTION("""COMPUTED_VALUE"""),"doniaebrahim610.com@gmail.com")</f>
        <v>doniaebrahim610.com@gmail.com</v>
      </c>
      <c r="C232" s="1">
        <f ca="1">IFERROR(__xludf.DUMMYFUNCTION("""COMPUTED_VALUE"""),201099845600)</f>
        <v>201099845600</v>
      </c>
      <c r="D232" s="1" t="str">
        <f ca="1">IFERROR(__xludf.DUMMYFUNCTION("""COMPUTED_VALUE"""),"Al mansoura")</f>
        <v>Al mansoura</v>
      </c>
      <c r="E232" s="12" t="str">
        <f ca="1">IFERROR(__xludf.DUMMYFUNCTION("""COMPUTED_VALUE"""),"https://www.facebook.com/profile.php?id=61564650612652&amp;mibextid=ZbWKwL")</f>
        <v>https://www.facebook.com/profile.php?id=61564650612652&amp;mibextid=ZbWKwL</v>
      </c>
      <c r="F232" s="1" t="str">
        <f ca="1">IFERROR(__xludf.DUMMYFUNCTION("""COMPUTED_VALUE"""),"123_donia")</f>
        <v>123_donia</v>
      </c>
      <c r="G232" s="1" t="str">
        <f ca="1">IFERROR(__xludf.DUMMYFUNCTION("""COMPUTED_VALUE"""),"doniaebrahim610.com@gmail.com")</f>
        <v>doniaebrahim610.com@gmail.com</v>
      </c>
      <c r="H232" s="1" t="str">
        <f ca="1">IFERROR(__xludf.DUMMYFUNCTION("""COMPUTED_VALUE"""),"doniaebrahim610.com@gmail.com")</f>
        <v>doniaebrahim610.com@gmail.com</v>
      </c>
      <c r="I232" s="1" t="str">
        <f ca="1">IFERROR(__xludf.DUMMYFUNCTION("""COMPUTED_VALUE"""),"doniaebrahim610.com@gmail.com")</f>
        <v>doniaebrahim610.com@gmail.com</v>
      </c>
      <c r="J232" s="1" t="str">
        <f ca="1">IFERROR(__xludf.DUMMYFUNCTION("""COMPUTED_VALUE"""),"doniaebrahim610.com@gmail.com")</f>
        <v>doniaebrahim610.com@gmail.com</v>
      </c>
      <c r="K232" s="1" t="str">
        <f ca="1">IFERROR(__xludf.DUMMYFUNCTION("""COMPUTED_VALUE"""),"Mansoura University")</f>
        <v>Mansoura University</v>
      </c>
      <c r="L232" s="1"/>
      <c r="M232" s="1" t="str">
        <f ca="1">IFERROR(__xludf.DUMMYFUNCTION("""COMPUTED_VALUE"""),"Faculty of Computer &amp; Information Science")</f>
        <v>Faculty of Computer &amp; Information Science</v>
      </c>
      <c r="N232" s="1"/>
      <c r="O232" s="1" t="str">
        <f ca="1">IFERROR(__xludf.DUMMYFUNCTION("""COMPUTED_VALUE"""),"1st Year")</f>
        <v>1st Year</v>
      </c>
      <c r="R232" s="1" t="s">
        <v>370</v>
      </c>
    </row>
    <row r="233" spans="1:18">
      <c r="A233" s="1" t="str">
        <f ca="1">IFERROR(__xludf.DUMMYFUNCTION("""COMPUTED_VALUE"""),"Mohaned fathy ")</f>
        <v xml:space="preserve">Mohaned fathy </v>
      </c>
      <c r="B233" s="1" t="str">
        <f ca="1">IFERROR(__xludf.DUMMYFUNCTION("""COMPUTED_VALUE"""),"Mohanedfathy@gmail.com")</f>
        <v>Mohanedfathy@gmail.com</v>
      </c>
      <c r="C233" s="1">
        <f ca="1">IFERROR(__xludf.DUMMYFUNCTION("""COMPUTED_VALUE"""),201010130156)</f>
        <v>201010130156</v>
      </c>
      <c r="D233" s="1" t="str">
        <f ca="1">IFERROR(__xludf.DUMMYFUNCTION("""COMPUTED_VALUE"""),"ميت بدر خميس مركز المنصوره الدقهليه")</f>
        <v>ميت بدر خميس مركز المنصوره الدقهليه</v>
      </c>
      <c r="E233" s="12" t="str">
        <f ca="1">IFERROR(__xludf.DUMMYFUNCTION("""COMPUTED_VALUE"""),"https://www.facebook.com/profile.php?id=100071969621080&amp;mibextid=ZbWKwL")</f>
        <v>https://www.facebook.com/profile.php?id=100071969621080&amp;mibextid=ZbWKwL</v>
      </c>
      <c r="F233" s="12" t="str">
        <f ca="1">IFERROR(__xludf.DUMMYFUNCTION("""COMPUTED_VALUE"""),"https://www.facebook.com/profile.php?id=100071969621080&amp;mibextid=ZbWKwL")</f>
        <v>https://www.facebook.com/profile.php?id=100071969621080&amp;mibextid=ZbWKwL</v>
      </c>
      <c r="G233" s="1"/>
      <c r="H233" s="1"/>
      <c r="I233" s="1"/>
      <c r="J233" s="1"/>
      <c r="K233" s="1" t="str">
        <f ca="1">IFERROR(__xludf.DUMMYFUNCTION("""COMPUTED_VALUE"""),"Mansoura University")</f>
        <v>Mansoura University</v>
      </c>
      <c r="L233" s="1"/>
      <c r="M233" s="1" t="str">
        <f ca="1">IFERROR(__xludf.DUMMYFUNCTION("""COMPUTED_VALUE"""),"Faculty of Computer &amp; Information Science")</f>
        <v>Faculty of Computer &amp; Information Science</v>
      </c>
      <c r="N233" s="1"/>
      <c r="O233" s="1" t="str">
        <f ca="1">IFERROR(__xludf.DUMMYFUNCTION("""COMPUTED_VALUE"""),"1st Year")</f>
        <v>1st Year</v>
      </c>
      <c r="R233" s="1" t="s">
        <v>371</v>
      </c>
    </row>
    <row r="234" spans="1:18">
      <c r="A234" s="1" t="str">
        <f ca="1">IFERROR(__xludf.DUMMYFUNCTION("""COMPUTED_VALUE"""),"Mohamed Eltohamy ")</f>
        <v xml:space="preserve">Mohamed Eltohamy </v>
      </c>
      <c r="B234" s="1" t="str">
        <f ca="1">IFERROR(__xludf.DUMMYFUNCTION("""COMPUTED_VALUE"""),"mohamed.eltohamy2005@gmail.com")</f>
        <v>mohamed.eltohamy2005@gmail.com</v>
      </c>
      <c r="C234" s="1">
        <f ca="1">IFERROR(__xludf.DUMMYFUNCTION("""COMPUTED_VALUE"""),201000497226)</f>
        <v>201000497226</v>
      </c>
      <c r="D234" s="1" t="str">
        <f ca="1">IFERROR(__xludf.DUMMYFUNCTION("""COMPUTED_VALUE"""),"Elmanoura,Abdou maarouf street ")</f>
        <v xml:space="preserve">Elmanoura,Abdou maarouf street </v>
      </c>
      <c r="E234" s="12" t="str">
        <f ca="1">IFERROR(__xludf.DUMMYFUNCTION("""COMPUTED_VALUE"""),"https://m.facebook.com/profile.php?id=100009622057626")</f>
        <v>https://m.facebook.com/profile.php?id=100009622057626</v>
      </c>
      <c r="F234" s="1" t="str">
        <f ca="1">IFERROR(__xludf.DUMMYFUNCTION("""COMPUTED_VALUE"""),"None")</f>
        <v>None</v>
      </c>
      <c r="G234" s="1"/>
      <c r="H234" s="1"/>
      <c r="I234" s="1"/>
      <c r="J234" s="1"/>
      <c r="K234" s="1" t="str">
        <f ca="1">IFERROR(__xludf.DUMMYFUNCTION("""COMPUTED_VALUE"""),"Mansoura University")</f>
        <v>Mansoura University</v>
      </c>
      <c r="L234" s="1"/>
      <c r="M234" s="1" t="str">
        <f ca="1">IFERROR(__xludf.DUMMYFUNCTION("""COMPUTED_VALUE"""),"Faculty of Computer &amp; Information Science")</f>
        <v>Faculty of Computer &amp; Information Science</v>
      </c>
      <c r="N234" s="1"/>
      <c r="O234" s="1" t="str">
        <f ca="1">IFERROR(__xludf.DUMMYFUNCTION("""COMPUTED_VALUE"""),"2nd Year")</f>
        <v>2nd Year</v>
      </c>
      <c r="R234" s="1" t="s">
        <v>372</v>
      </c>
    </row>
    <row r="235" spans="1:18">
      <c r="A235" s="1" t="str">
        <f ca="1">IFERROR(__xludf.DUMMYFUNCTION("""COMPUTED_VALUE"""),"omar ahmed elsaid roza")</f>
        <v>omar ahmed elsaid roza</v>
      </c>
      <c r="B235" s="1" t="str">
        <f ca="1">IFERROR(__xludf.DUMMYFUNCTION("""COMPUTED_VALUE"""),"oa4093060@gmail.com")</f>
        <v>oa4093060@gmail.com</v>
      </c>
      <c r="C235" s="1">
        <f ca="1">IFERROR(__xludf.DUMMYFUNCTION("""COMPUTED_VALUE"""),201276378150)</f>
        <v>201276378150</v>
      </c>
      <c r="D235" s="1" t="str">
        <f ca="1">IFERROR(__xludf.DUMMYFUNCTION("""COMPUTED_VALUE"""),"Samanoud ")</f>
        <v xml:space="preserve">Samanoud </v>
      </c>
      <c r="E235" s="12" t="str">
        <f ca="1">IFERROR(__xludf.DUMMYFUNCTION("""COMPUTED_VALUE"""),"https://www.facebook.com/omarroza31?mibextid=ZbWKwL")</f>
        <v>https://www.facebook.com/omarroza31?mibextid=ZbWKwL</v>
      </c>
      <c r="F235" s="1" t="str">
        <f ca="1">IFERROR(__xludf.DUMMYFUNCTION("""COMPUTED_VALUE"""),"omarahmed2801")</f>
        <v>omarahmed2801</v>
      </c>
      <c r="G235" s="12" t="str">
        <f ca="1">IFERROR(__xludf.DUMMYFUNCTION("""COMPUTED_VALUE"""),"https://x.com/ORozzza?t=M0_Pv_wzCvw68VpleYuyDQ&amp;s=09")</f>
        <v>https://x.com/ORozzza?t=M0_Pv_wzCvw68VpleYuyDQ&amp;s=09</v>
      </c>
      <c r="H235" s="12" t="str">
        <f ca="1">IFERROR(__xludf.DUMMYFUNCTION("""COMPUTED_VALUE"""),"https://www.linkedin.com/in/omar-ahmed-ab472b230?utm_source=share&amp;utm_campaign=share_via&amp;utm_content=profile&amp;utm_medium=android_app")</f>
        <v>https://www.linkedin.com/in/omar-ahmed-ab472b230?utm_source=share&amp;utm_campaign=share_via&amp;utm_content=profile&amp;utm_medium=android_app</v>
      </c>
      <c r="I235" s="12" t="str">
        <f ca="1">IFERROR(__xludf.DUMMYFUNCTION("""COMPUTED_VALUE"""),"https://github.com/OroZzZa")</f>
        <v>https://github.com/OroZzZa</v>
      </c>
      <c r="J235" s="12" t="str">
        <f ca="1">IFERROR(__xludf.DUMMYFUNCTION("""COMPUTED_VALUE"""),"https://www.behance.net/omarahmed730")</f>
        <v>https://www.behance.net/omarahmed730</v>
      </c>
      <c r="K235" s="1" t="str">
        <f ca="1">IFERROR(__xludf.DUMMYFUNCTION("""COMPUTED_VALUE"""),"Mansoura University")</f>
        <v>Mansoura University</v>
      </c>
      <c r="L235" s="1"/>
      <c r="M235" s="1" t="str">
        <f ca="1">IFERROR(__xludf.DUMMYFUNCTION("""COMPUTED_VALUE"""),"Faculty of Computer &amp; Information Science")</f>
        <v>Faculty of Computer &amp; Information Science</v>
      </c>
      <c r="N235" s="1"/>
      <c r="O235" s="1" t="str">
        <f ca="1">IFERROR(__xludf.DUMMYFUNCTION("""COMPUTED_VALUE"""),"2nd Year")</f>
        <v>2nd Year</v>
      </c>
      <c r="R235" s="1" t="s">
        <v>373</v>
      </c>
    </row>
    <row r="236" spans="1:18">
      <c r="A236" s="1" t="str">
        <f ca="1">IFERROR(__xludf.DUMMYFUNCTION("""COMPUTED_VALUE"""),"Sherif Sherif Ahmed ")</f>
        <v xml:space="preserve">Sherif Sherif Ahmed </v>
      </c>
      <c r="B236" s="1" t="str">
        <f ca="1">IFERROR(__xludf.DUMMYFUNCTION("""COMPUTED_VALUE"""),"shefoo309050@gmail.com")</f>
        <v>shefoo309050@gmail.com</v>
      </c>
      <c r="C236" s="1">
        <f ca="1">IFERROR(__xludf.DUMMYFUNCTION("""COMPUTED_VALUE"""),201093209301)</f>
        <v>201093209301</v>
      </c>
      <c r="D236" s="1" t="str">
        <f ca="1">IFERROR(__xludf.DUMMYFUNCTION("""COMPUTED_VALUE"""),"Minyet-ElNasr Eldaqahliyah")</f>
        <v>Minyet-ElNasr Eldaqahliyah</v>
      </c>
      <c r="E236" s="12" t="str">
        <f ca="1">IFERROR(__xludf.DUMMYFUNCTION("""COMPUTED_VALUE"""),"https://www.facebook.com/she.rif.52687?mibextid=ZbWKwL")</f>
        <v>https://www.facebook.com/she.rif.52687?mibextid=ZbWKwL</v>
      </c>
      <c r="F236" s="1" t="str">
        <f ca="1">IFERROR(__xludf.DUMMYFUNCTION("""COMPUTED_VALUE"""),"sheriif_10")</f>
        <v>sheriif_10</v>
      </c>
      <c r="G236" s="1"/>
      <c r="H236" s="12" t="str">
        <f ca="1">IFERROR(__xludf.DUMMYFUNCTION("""COMPUTED_VALUE"""),"www.linkedin.com/in/sherif10")</f>
        <v>www.linkedin.com/in/sherif10</v>
      </c>
      <c r="I236" s="12" t="str">
        <f ca="1">IFERROR(__xludf.DUMMYFUNCTION("""COMPUTED_VALUE"""),"https://github.com/settings/profile")</f>
        <v>https://github.com/settings/profile</v>
      </c>
      <c r="J236" s="1"/>
      <c r="K236" s="1" t="str">
        <f ca="1">IFERROR(__xludf.DUMMYFUNCTION("""COMPUTED_VALUE"""),"Mansoura University")</f>
        <v>Mansoura University</v>
      </c>
      <c r="L236" s="1"/>
      <c r="M236" s="1" t="str">
        <f ca="1">IFERROR(__xludf.DUMMYFUNCTION("""COMPUTED_VALUE"""),"Faculty of Computer &amp; Information Science")</f>
        <v>Faculty of Computer &amp; Information Science</v>
      </c>
      <c r="N236" s="1"/>
      <c r="O236" s="1" t="str">
        <f ca="1">IFERROR(__xludf.DUMMYFUNCTION("""COMPUTED_VALUE"""),"2nd Year")</f>
        <v>2nd Year</v>
      </c>
      <c r="R236" s="1" t="s">
        <v>374</v>
      </c>
    </row>
    <row r="237" spans="1:18">
      <c r="A237" s="1" t="str">
        <f ca="1">IFERROR(__xludf.DUMMYFUNCTION("""COMPUTED_VALUE"""),"Fatma Ibrahim Mohammed ")</f>
        <v xml:space="preserve">Fatma Ibrahim Mohammed </v>
      </c>
      <c r="B237" s="1" t="str">
        <f ca="1">IFERROR(__xludf.DUMMYFUNCTION("""COMPUTED_VALUE"""),"fatimaibrahim9098@gmail.com")</f>
        <v>fatimaibrahim9098@gmail.com</v>
      </c>
      <c r="C237" s="1">
        <f ca="1">IFERROR(__xludf.DUMMYFUNCTION("""COMPUTED_VALUE"""),201028462959)</f>
        <v>201028462959</v>
      </c>
      <c r="D237" s="1" t="str">
        <f ca="1">IFERROR(__xludf.DUMMYFUNCTION("""COMPUTED_VALUE"""),"Mataria, Daqahliyah , Egypt ")</f>
        <v xml:space="preserve">Mataria, Daqahliyah , Egypt </v>
      </c>
      <c r="E237" s="12" t="str">
        <f ca="1">IFERROR(__xludf.DUMMYFUNCTION("""COMPUTED_VALUE"""),"https://www.facebook.com/profile.php?id=100052150834244w")</f>
        <v>https://www.facebook.com/profile.php?id=100052150834244w</v>
      </c>
      <c r="F237" s="1" t="str">
        <f ca="1">IFERROR(__xludf.DUMMYFUNCTION("""COMPUTED_VALUE"""),"...")</f>
        <v>...</v>
      </c>
      <c r="G237" s="1"/>
      <c r="H237" s="1"/>
      <c r="I237" s="1"/>
      <c r="J237" s="1"/>
      <c r="K237" s="1" t="str">
        <f ca="1">IFERROR(__xludf.DUMMYFUNCTION("""COMPUTED_VALUE"""),"Mansoura University")</f>
        <v>Mansoura University</v>
      </c>
      <c r="L237" s="1"/>
      <c r="M237" s="1" t="str">
        <f ca="1">IFERROR(__xludf.DUMMYFUNCTION("""COMPUTED_VALUE"""),"Other")</f>
        <v>Other</v>
      </c>
      <c r="N237" s="1" t="str">
        <f ca="1">IFERROR(__xludf.DUMMYFUNCTION("""COMPUTED_VALUE"""),"Faculty of Education ")</f>
        <v xml:space="preserve">Faculty of Education </v>
      </c>
      <c r="O237" s="1" t="str">
        <f ca="1">IFERROR(__xludf.DUMMYFUNCTION("""COMPUTED_VALUE"""),"2nd Year")</f>
        <v>2nd Year</v>
      </c>
      <c r="R237" s="1" t="s">
        <v>375</v>
      </c>
    </row>
    <row r="238" spans="1:18">
      <c r="A238" s="1" t="str">
        <f ca="1">IFERROR(__xludf.DUMMYFUNCTION("""COMPUTED_VALUE"""),"Osama Mohammed ")</f>
        <v xml:space="preserve">Osama Mohammed </v>
      </c>
      <c r="B238" s="1" t="str">
        <f ca="1">IFERROR(__xludf.DUMMYFUNCTION("""COMPUTED_VALUE"""),"osamafeteh46@gmail.com")</f>
        <v>osamafeteh46@gmail.com</v>
      </c>
      <c r="C238" s="1">
        <f ca="1">IFERROR(__xludf.DUMMYFUNCTION("""COMPUTED_VALUE"""),201005580219)</f>
        <v>201005580219</v>
      </c>
      <c r="D238" s="1" t="str">
        <f ca="1">IFERROR(__xludf.DUMMYFUNCTION("""COMPUTED_VALUE"""),"دكرنس")</f>
        <v>دكرنس</v>
      </c>
      <c r="E238" s="12" t="str">
        <f ca="1">IFERROR(__xludf.DUMMYFUNCTION("""COMPUTED_VALUE"""),"https://www.facebook.com/osama.feteh")</f>
        <v>https://www.facebook.com/osama.feteh</v>
      </c>
      <c r="F238" s="1" t="str">
        <f ca="1">IFERROR(__xludf.DUMMYFUNCTION("""COMPUTED_VALUE"""),"osama058050")</f>
        <v>osama058050</v>
      </c>
      <c r="G238" s="1"/>
      <c r="H238" s="12" t="str">
        <f ca="1">IFERROR(__xludf.DUMMYFUNCTION("""COMPUTED_VALUE"""),"https://www.linkedin.com/in/osama-mohammed-737582330/overlay/about-this-profile/?lipi=urn%3Ali%3Apage%3Ad_flagship3_profile_view_base%3Bn5%2F3DdM9TV%2BBSDxjvswAVw%3D%3D")</f>
        <v>https://www.linkedin.com/in/osama-mohammed-737582330/overlay/about-this-profile/?lipi=urn%3Ali%3Apage%3Ad_flagship3_profile_view_base%3Bn5%2F3DdM9TV%2BBSDxjvswAVw%3D%3D</v>
      </c>
      <c r="I238" s="1"/>
      <c r="J238" s="1"/>
      <c r="K238" s="1" t="str">
        <f ca="1">IFERROR(__xludf.DUMMYFUNCTION("""COMPUTED_VALUE"""),"Mansoura University")</f>
        <v>Mansoura University</v>
      </c>
      <c r="L238" s="1"/>
      <c r="M238" s="1" t="str">
        <f ca="1">IFERROR(__xludf.DUMMYFUNCTION("""COMPUTED_VALUE"""),"Faculty of Computer &amp; Information Science")</f>
        <v>Faculty of Computer &amp; Information Science</v>
      </c>
      <c r="N238" s="1"/>
      <c r="O238" s="1" t="str">
        <f ca="1">IFERROR(__xludf.DUMMYFUNCTION("""COMPUTED_VALUE"""),"2nd Year")</f>
        <v>2nd Year</v>
      </c>
      <c r="R238" s="1" t="s">
        <v>376</v>
      </c>
    </row>
    <row r="239" spans="1:18">
      <c r="A239" s="1" t="str">
        <f ca="1">IFERROR(__xludf.DUMMYFUNCTION("""COMPUTED_VALUE"""),"محمد عادل صلاح محمد ")</f>
        <v xml:space="preserve">محمد عادل صلاح محمد </v>
      </c>
      <c r="B239" s="1" t="str">
        <f ca="1">IFERROR(__xludf.DUMMYFUNCTION("""COMPUTED_VALUE"""),"medo3del1310@gmail.com")</f>
        <v>medo3del1310@gmail.com</v>
      </c>
      <c r="C239" s="1">
        <f ca="1">IFERROR(__xludf.DUMMYFUNCTION("""COMPUTED_VALUE"""),201068535088)</f>
        <v>201068535088</v>
      </c>
      <c r="D239" s="1" t="str">
        <f ca="1">IFERROR(__xludf.DUMMYFUNCTION("""COMPUTED_VALUE"""),"طلخا تقسيم المعلمين")</f>
        <v>طلخا تقسيم المعلمين</v>
      </c>
      <c r="E239" s="12" t="str">
        <f ca="1">IFERROR(__xludf.DUMMYFUNCTION("""COMPUTED_VALUE"""),"https://www.facebook.com/share/18KzNA2igr/?mibextid=qi2Omg")</f>
        <v>https://www.facebook.com/share/18KzNA2igr/?mibextid=qi2Omg</v>
      </c>
      <c r="F239" s="1" t="str">
        <f ca="1">IFERROR(__xludf.DUMMYFUNCTION("""COMPUTED_VALUE"""),"mohamed3del.")</f>
        <v>mohamed3del.</v>
      </c>
      <c r="G239" s="1"/>
      <c r="H239" s="1"/>
      <c r="I239" s="1"/>
      <c r="J239" s="1"/>
      <c r="K239" s="1" t="str">
        <f ca="1">IFERROR(__xludf.DUMMYFUNCTION("""COMPUTED_VALUE"""),"Mansoura University")</f>
        <v>Mansoura University</v>
      </c>
      <c r="L239" s="1"/>
      <c r="M239" s="1" t="str">
        <f ca="1">IFERROR(__xludf.DUMMYFUNCTION("""COMPUTED_VALUE"""),"Faculty of Computer &amp; Information Science")</f>
        <v>Faculty of Computer &amp; Information Science</v>
      </c>
      <c r="N239" s="1"/>
      <c r="O239" s="1" t="str">
        <f ca="1">IFERROR(__xludf.DUMMYFUNCTION("""COMPUTED_VALUE"""),"2nd Year")</f>
        <v>2nd Year</v>
      </c>
      <c r="R239" s="1" t="s">
        <v>377</v>
      </c>
    </row>
    <row r="240" spans="1:18">
      <c r="A240" s="1" t="str">
        <f ca="1">IFERROR(__xludf.DUMMYFUNCTION("""COMPUTED_VALUE"""),"Zainb Magdi Mohamed Abdo ")</f>
        <v xml:space="preserve">Zainb Magdi Mohamed Abdo </v>
      </c>
      <c r="B240" s="1" t="str">
        <f ca="1">IFERROR(__xludf.DUMMYFUNCTION("""COMPUTED_VALUE"""),"magdizeina120@gmail.com")</f>
        <v>magdizeina120@gmail.com</v>
      </c>
      <c r="C240" s="1">
        <f ca="1">IFERROR(__xludf.DUMMYFUNCTION("""COMPUTED_VALUE"""),201550528272)</f>
        <v>201550528272</v>
      </c>
      <c r="D240" s="1" t="str">
        <f ca="1">IFERROR(__xludf.DUMMYFUNCTION("""COMPUTED_VALUE"""),"Mansoura ")</f>
        <v xml:space="preserve">Mansoura </v>
      </c>
      <c r="E240" s="12" t="str">
        <f ca="1">IFERROR(__xludf.DUMMYFUNCTION("""COMPUTED_VALUE"""),"https://www.facebook.com/share/15tKte9Lmt/")</f>
        <v>https://www.facebook.com/share/15tKte9Lmt/</v>
      </c>
      <c r="F240" s="1" t="str">
        <f ca="1">IFERROR(__xludf.DUMMYFUNCTION("""COMPUTED_VALUE"""),"Don't have now")</f>
        <v>Don't have now</v>
      </c>
      <c r="G240" s="1"/>
      <c r="H240" s="1"/>
      <c r="I240" s="1"/>
      <c r="J240" s="1"/>
      <c r="K240" s="1" t="str">
        <f ca="1">IFERROR(__xludf.DUMMYFUNCTION("""COMPUTED_VALUE"""),"Mansoura University")</f>
        <v>Mansoura University</v>
      </c>
      <c r="L240" s="1"/>
      <c r="M240" s="1" t="str">
        <f ca="1">IFERROR(__xludf.DUMMYFUNCTION("""COMPUTED_VALUE"""),"Faculty of Computer &amp; Information Science")</f>
        <v>Faculty of Computer &amp; Information Science</v>
      </c>
      <c r="N240" s="1"/>
      <c r="O240" s="1" t="str">
        <f ca="1">IFERROR(__xludf.DUMMYFUNCTION("""COMPUTED_VALUE"""),"2nd Year")</f>
        <v>2nd Year</v>
      </c>
      <c r="R240" s="1" t="s">
        <v>378</v>
      </c>
    </row>
    <row r="241" spans="1:18">
      <c r="A241" s="1" t="str">
        <f ca="1">IFERROR(__xludf.DUMMYFUNCTION("""COMPUTED_VALUE"""),"Yara awad ")</f>
        <v xml:space="preserve">Yara awad </v>
      </c>
      <c r="B241" s="1" t="str">
        <f ca="1">IFERROR(__xludf.DUMMYFUNCTION("""COMPUTED_VALUE"""),"y.awad12102006@gmail.com")</f>
        <v>y.awad12102006@gmail.com</v>
      </c>
      <c r="C241" s="1">
        <f ca="1">IFERROR(__xludf.DUMMYFUNCTION("""COMPUTED_VALUE"""),201221847441)</f>
        <v>201221847441</v>
      </c>
      <c r="D241" s="1" t="str">
        <f ca="1">IFERROR(__xludf.DUMMYFUNCTION("""COMPUTED_VALUE"""),"ميت غمر ")</f>
        <v xml:space="preserve">ميت غمر </v>
      </c>
      <c r="E241" s="12" t="str">
        <f ca="1">IFERROR(__xludf.DUMMYFUNCTION("""COMPUTED_VALUE"""),"https://www.facebook.com/profile.php?id=100011489112484&amp;mibextid=ZbWKwL")</f>
        <v>https://www.facebook.com/profile.php?id=100011489112484&amp;mibextid=ZbWKwL</v>
      </c>
      <c r="F241" s="12" t="str">
        <f ca="1">IFERROR(__xludf.DUMMYFUNCTION("""COMPUTED_VALUE"""),"https://discord.gg/gdPZyKTH")</f>
        <v>https://discord.gg/gdPZyKTH</v>
      </c>
      <c r="G241" s="1"/>
      <c r="H241" s="1"/>
      <c r="I241" s="1"/>
      <c r="J241" s="1"/>
      <c r="K241" s="1" t="str">
        <f ca="1">IFERROR(__xludf.DUMMYFUNCTION("""COMPUTED_VALUE"""),"Mansoura University")</f>
        <v>Mansoura University</v>
      </c>
      <c r="L241" s="1"/>
      <c r="M241" s="1" t="str">
        <f ca="1">IFERROR(__xludf.DUMMYFUNCTION("""COMPUTED_VALUE"""),"Faculty of Computer &amp; Information Science")</f>
        <v>Faculty of Computer &amp; Information Science</v>
      </c>
      <c r="N241" s="1"/>
      <c r="O241" s="1" t="str">
        <f ca="1">IFERROR(__xludf.DUMMYFUNCTION("""COMPUTED_VALUE"""),"1st Year")</f>
        <v>1st Year</v>
      </c>
      <c r="R241" s="1" t="s">
        <v>379</v>
      </c>
    </row>
    <row r="242" spans="1:18">
      <c r="A242" s="1" t="str">
        <f ca="1">IFERROR(__xludf.DUMMYFUNCTION("""COMPUTED_VALUE"""),"Mohammed Alaa")</f>
        <v>Mohammed Alaa</v>
      </c>
      <c r="B242" s="1" t="str">
        <f ca="1">IFERROR(__xludf.DUMMYFUNCTION("""COMPUTED_VALUE"""),"ma0639766@gmail.com")</f>
        <v>ma0639766@gmail.com</v>
      </c>
      <c r="C242" s="1">
        <f ca="1">IFERROR(__xludf.DUMMYFUNCTION("""COMPUTED_VALUE"""),201090536875)</f>
        <v>201090536875</v>
      </c>
      <c r="D242" s="1" t="str">
        <f ca="1">IFERROR(__xludf.DUMMYFUNCTION("""COMPUTED_VALUE"""),"Mansoura")</f>
        <v>Mansoura</v>
      </c>
      <c r="E242" s="12" t="str">
        <f ca="1">IFERROR(__xludf.DUMMYFUNCTION("""COMPUTED_VALUE"""),"https://www.facebook.com/MohammedAlaaMokhtar74?mibextid=ZbWKwL")</f>
        <v>https://www.facebook.com/MohammedAlaaMokhtar74?mibextid=ZbWKwL</v>
      </c>
      <c r="F242" s="1" t="str">
        <f ca="1">IFERROR(__xludf.DUMMYFUNCTION("""COMPUTED_VALUE"""),"mohammed_alaa74")</f>
        <v>mohammed_alaa74</v>
      </c>
      <c r="G242" s="1"/>
      <c r="H242" s="1"/>
      <c r="I242" s="1"/>
      <c r="J242" s="1"/>
      <c r="K242" s="1" t="str">
        <f ca="1">IFERROR(__xludf.DUMMYFUNCTION("""COMPUTED_VALUE"""),"Mansoura University")</f>
        <v>Mansoura University</v>
      </c>
      <c r="L242" s="1"/>
      <c r="M242" s="1" t="str">
        <f ca="1">IFERROR(__xludf.DUMMYFUNCTION("""COMPUTED_VALUE"""),"Faculty of Computer &amp; Information Science")</f>
        <v>Faculty of Computer &amp; Information Science</v>
      </c>
      <c r="N242" s="1"/>
      <c r="O242" s="1" t="str">
        <f ca="1">IFERROR(__xludf.DUMMYFUNCTION("""COMPUTED_VALUE"""),"3rd Year")</f>
        <v>3rd Year</v>
      </c>
      <c r="R242" s="1" t="s">
        <v>380</v>
      </c>
    </row>
    <row r="243" spans="1:18">
      <c r="A243" s="1" t="str">
        <f ca="1">IFERROR(__xludf.DUMMYFUNCTION("""COMPUTED_VALUE"""),"Mohamed Al-Said El-Kenany")</f>
        <v>Mohamed Al-Said El-Kenany</v>
      </c>
      <c r="B243" s="1" t="str">
        <f ca="1">IFERROR(__xludf.DUMMYFUNCTION("""COMPUTED_VALUE"""),"mohamedelkenany095@gmail.com")</f>
        <v>mohamedelkenany095@gmail.com</v>
      </c>
      <c r="C243" s="1">
        <f ca="1">IFERROR(__xludf.DUMMYFUNCTION("""COMPUTED_VALUE"""),201061230249)</f>
        <v>201061230249</v>
      </c>
      <c r="D243" s="1" t="str">
        <f ca="1">IFERROR(__xludf.DUMMYFUNCTION("""COMPUTED_VALUE"""),"Mansoura ")</f>
        <v xml:space="preserve">Mansoura </v>
      </c>
      <c r="E243" s="12" t="str">
        <f ca="1">IFERROR(__xludf.DUMMYFUNCTION("""COMPUTED_VALUE"""),"https://www.facebook.com/profile.php?id=100028404248383&amp;mibextid=ZbWKwL")</f>
        <v>https://www.facebook.com/profile.php?id=100028404248383&amp;mibextid=ZbWKwL</v>
      </c>
      <c r="F243" s="1" t="str">
        <f ca="1">IFERROR(__xludf.DUMMYFUNCTION("""COMPUTED_VALUE"""),"mohamed_elkenany")</f>
        <v>mohamed_elkenany</v>
      </c>
      <c r="G243" s="1"/>
      <c r="H243" s="12" t="str">
        <f ca="1">IFERROR(__xludf.DUMMYFUNCTION("""COMPUTED_VALUE"""),"https://www.linkedin.com/in/mo7amed-el-kenany-b892b0288?utm_source=share&amp;utm_campaign=share_via&amp;utm_content=profile&amp;utm_medium=android_app")</f>
        <v>https://www.linkedin.com/in/mo7amed-el-kenany-b892b0288?utm_source=share&amp;utm_campaign=share_via&amp;utm_content=profile&amp;utm_medium=android_app</v>
      </c>
      <c r="I243" s="1"/>
      <c r="J243" s="1"/>
      <c r="K243" s="1" t="str">
        <f ca="1">IFERROR(__xludf.DUMMYFUNCTION("""COMPUTED_VALUE"""),"Mansoura University")</f>
        <v>Mansoura University</v>
      </c>
      <c r="L243" s="1"/>
      <c r="M243" s="1" t="str">
        <f ca="1">IFERROR(__xludf.DUMMYFUNCTION("""COMPUTED_VALUE"""),"Faculty of Computer &amp; Information Science")</f>
        <v>Faculty of Computer &amp; Information Science</v>
      </c>
      <c r="N243" s="1"/>
      <c r="O243" s="1" t="str">
        <f ca="1">IFERROR(__xludf.DUMMYFUNCTION("""COMPUTED_VALUE"""),"2nd Year")</f>
        <v>2nd Year</v>
      </c>
      <c r="R243" s="1" t="s">
        <v>381</v>
      </c>
    </row>
    <row r="244" spans="1:18">
      <c r="A244" s="1" t="str">
        <f ca="1">IFERROR(__xludf.DUMMYFUNCTION("""COMPUTED_VALUE"""),"Mohamed deif")</f>
        <v>Mohamed deif</v>
      </c>
      <c r="B244" s="1" t="str">
        <f ca="1">IFERROR(__xludf.DUMMYFUNCTION("""COMPUTED_VALUE"""),"mohamed1deif@gmail.com")</f>
        <v>mohamed1deif@gmail.com</v>
      </c>
      <c r="C244" s="1">
        <f ca="1">IFERROR(__xludf.DUMMYFUNCTION("""COMPUTED_VALUE"""),201287890719)</f>
        <v>201287890719</v>
      </c>
      <c r="D244" s="1" t="str">
        <f ca="1">IFERROR(__xludf.DUMMYFUNCTION("""COMPUTED_VALUE"""),"from damietta")</f>
        <v>from damietta</v>
      </c>
      <c r="E244" s="12" t="str">
        <f ca="1">IFERROR(__xludf.DUMMYFUNCTION("""COMPUTED_VALUE"""),"https://www.facebook.com/mohamed.dief.3532?mibextid=ZbWKwL")</f>
        <v>https://www.facebook.com/mohamed.dief.3532?mibextid=ZbWKwL</v>
      </c>
      <c r="F244" s="1" t="str">
        <f ca="1">IFERROR(__xludf.DUMMYFUNCTION("""COMPUTED_VALUE"""),"mohamed1deif")</f>
        <v>mohamed1deif</v>
      </c>
      <c r="G244" s="1"/>
      <c r="H244" s="1"/>
      <c r="I244" s="1"/>
      <c r="J244" s="1"/>
      <c r="K244" s="1" t="str">
        <f ca="1">IFERROR(__xludf.DUMMYFUNCTION("""COMPUTED_VALUE"""),"Mansoura University")</f>
        <v>Mansoura University</v>
      </c>
      <c r="L244" s="1"/>
      <c r="M244" s="1" t="str">
        <f ca="1">IFERROR(__xludf.DUMMYFUNCTION("""COMPUTED_VALUE"""),"Faculty of Engineering")</f>
        <v>Faculty of Engineering</v>
      </c>
      <c r="N244" s="1"/>
      <c r="O244" s="1" t="str">
        <f ca="1">IFERROR(__xludf.DUMMYFUNCTION("""COMPUTED_VALUE"""),"1st Year")</f>
        <v>1st Year</v>
      </c>
      <c r="R244" s="1" t="s">
        <v>382</v>
      </c>
    </row>
    <row r="245" spans="1:18">
      <c r="A245" s="1" t="str">
        <f ca="1">IFERROR(__xludf.DUMMYFUNCTION("""COMPUTED_VALUE"""),"Zeiad Eldiasty ")</f>
        <v xml:space="preserve">Zeiad Eldiasty </v>
      </c>
      <c r="B245" s="1" t="str">
        <f ca="1">IFERROR(__xludf.DUMMYFUNCTION("""COMPUTED_VALUE"""),"zm78429@gmail.com")</f>
        <v>zm78429@gmail.com</v>
      </c>
      <c r="C245" s="1">
        <f ca="1">IFERROR(__xludf.DUMMYFUNCTION("""COMPUTED_VALUE"""),201000283513)</f>
        <v>201000283513</v>
      </c>
      <c r="D245" s="1" t="str">
        <f ca="1">IFERROR(__xludf.DUMMYFUNCTION("""COMPUTED_VALUE"""),"Talkha")</f>
        <v>Talkha</v>
      </c>
      <c r="E245" s="12" t="str">
        <f ca="1">IFERROR(__xludf.DUMMYFUNCTION("""COMPUTED_VALUE"""),"https://www.facebook.com/profile.php?id=100077421825110&amp;mibextid=ZbWKwL")</f>
        <v>https://www.facebook.com/profile.php?id=100077421825110&amp;mibextid=ZbWKwL</v>
      </c>
      <c r="F245" s="12" t="str">
        <f ca="1">IFERROR(__xludf.DUMMYFUNCTION("""COMPUTED_VALUE"""),"https://discord.gg/3mdTWQm8")</f>
        <v>https://discord.gg/3mdTWQm8</v>
      </c>
      <c r="G245" s="1"/>
      <c r="H245" s="1"/>
      <c r="I245" s="1"/>
      <c r="J245" s="1"/>
      <c r="K245" s="1" t="str">
        <f ca="1">IFERROR(__xludf.DUMMYFUNCTION("""COMPUTED_VALUE"""),"Mansoura University")</f>
        <v>Mansoura University</v>
      </c>
      <c r="L245" s="1"/>
      <c r="M245" s="1" t="str">
        <f ca="1">IFERROR(__xludf.DUMMYFUNCTION("""COMPUTED_VALUE"""),"Faculty of Computer &amp; Information Science")</f>
        <v>Faculty of Computer &amp; Information Science</v>
      </c>
      <c r="N245" s="1"/>
      <c r="O245" s="1" t="str">
        <f ca="1">IFERROR(__xludf.DUMMYFUNCTION("""COMPUTED_VALUE"""),"1st Year")</f>
        <v>1st Year</v>
      </c>
      <c r="R245" s="1" t="s">
        <v>383</v>
      </c>
    </row>
    <row r="246" spans="1:18">
      <c r="A246" s="1" t="str">
        <f ca="1">IFERROR(__xludf.DUMMYFUNCTION("""COMPUTED_VALUE"""),"shahd saad bedair ahmed ")</f>
        <v xml:space="preserve">shahd saad bedair ahmed </v>
      </c>
      <c r="B246" s="1" t="str">
        <f ca="1">IFERROR(__xludf.DUMMYFUNCTION("""COMPUTED_VALUE"""),"shahdsaad648@gmail.com")</f>
        <v>shahdsaad648@gmail.com</v>
      </c>
      <c r="C246" s="1">
        <f ca="1">IFERROR(__xludf.DUMMYFUNCTION("""COMPUTED_VALUE"""),201101721271)</f>
        <v>201101721271</v>
      </c>
      <c r="D246" s="1" t="str">
        <f ca="1">IFERROR(__xludf.DUMMYFUNCTION("""COMPUTED_VALUE"""),"kafr elsheikh - sidi salem")</f>
        <v>kafr elsheikh - sidi salem</v>
      </c>
      <c r="E246" s="12" t="str">
        <f ca="1">IFERROR(__xludf.DUMMYFUNCTION("""COMPUTED_VALUE"""),"https://www.facebook.com/profile.php?id=61550007293460")</f>
        <v>https://www.facebook.com/profile.php?id=61550007293460</v>
      </c>
      <c r="F246" s="1" t="str">
        <f ca="1">IFERROR(__xludf.DUMMYFUNCTION("""COMPUTED_VALUE"""),"shahdahmed0413")</f>
        <v>shahdahmed0413</v>
      </c>
      <c r="G246" s="1"/>
      <c r="H246" s="12" t="str">
        <f ca="1">IFERROR(__xludf.DUMMYFUNCTION("""COMPUTED_VALUE"""),"https://www.linkedin.com/in/shahd-saad-3a66b6284/")</f>
        <v>https://www.linkedin.com/in/shahd-saad-3a66b6284/</v>
      </c>
      <c r="I246" s="1"/>
      <c r="J246" s="1"/>
      <c r="K246" s="1" t="str">
        <f ca="1">IFERROR(__xludf.DUMMYFUNCTION("""COMPUTED_VALUE"""),"Other")</f>
        <v>Other</v>
      </c>
      <c r="L246" s="1"/>
      <c r="M246" s="1" t="str">
        <f ca="1">IFERROR(__xludf.DUMMYFUNCTION("""COMPUTED_VALUE"""),"Faculty of Engineering")</f>
        <v>Faculty of Engineering</v>
      </c>
      <c r="N246" s="1"/>
      <c r="O246" s="1" t="str">
        <f ca="1">IFERROR(__xludf.DUMMYFUNCTION("""COMPUTED_VALUE"""),"1st Year")</f>
        <v>1st Year</v>
      </c>
      <c r="R246" s="1" t="s">
        <v>384</v>
      </c>
    </row>
    <row r="247" spans="1:18">
      <c r="A247" s="1" t="str">
        <f ca="1">IFERROR(__xludf.DUMMYFUNCTION("""COMPUTED_VALUE"""),"محمود ياسر ")</f>
        <v xml:space="preserve">محمود ياسر </v>
      </c>
      <c r="B247" s="1" t="str">
        <f ca="1">IFERROR(__xludf.DUMMYFUNCTION("""COMPUTED_VALUE"""),"mfhmy2065@gmail.com")</f>
        <v>mfhmy2065@gmail.com</v>
      </c>
      <c r="C247" s="1">
        <f ca="1">IFERROR(__xludf.DUMMYFUNCTION("""COMPUTED_VALUE"""),201032334543)</f>
        <v>201032334543</v>
      </c>
      <c r="D247" s="1" t="str">
        <f ca="1">IFERROR(__xludf.DUMMYFUNCTION("""COMPUTED_VALUE"""),"دكرنس")</f>
        <v>دكرنس</v>
      </c>
      <c r="E247" s="1" t="str">
        <f ca="1">IFERROR(__xludf.DUMMYFUNCTION("""COMPUTED_VALUE"""),"mfhmy2065@gmail.com")</f>
        <v>mfhmy2065@gmail.com</v>
      </c>
      <c r="F247" s="1" t="str">
        <f ca="1">IFERROR(__xludf.DUMMYFUNCTION("""COMPUTED_VALUE"""),"Mym123456 ")</f>
        <v xml:space="preserve">Mym123456 </v>
      </c>
      <c r="G247" s="1"/>
      <c r="H247" s="1"/>
      <c r="I247" s="1"/>
      <c r="J247" s="1"/>
      <c r="K247" s="1" t="str">
        <f ca="1">IFERROR(__xludf.DUMMYFUNCTION("""COMPUTED_VALUE"""),"Mansoura University")</f>
        <v>Mansoura University</v>
      </c>
      <c r="L247" s="1"/>
      <c r="M247" s="1" t="str">
        <f ca="1">IFERROR(__xludf.DUMMYFUNCTION("""COMPUTED_VALUE"""),"Faculty of Computer &amp; Information Science")</f>
        <v>Faculty of Computer &amp; Information Science</v>
      </c>
      <c r="N247" s="1"/>
      <c r="O247" s="1" t="str">
        <f ca="1">IFERROR(__xludf.DUMMYFUNCTION("""COMPUTED_VALUE"""),"2nd Year")</f>
        <v>2nd Year</v>
      </c>
      <c r="R247" s="1" t="s">
        <v>385</v>
      </c>
    </row>
    <row r="248" spans="1:18">
      <c r="A248" s="1" t="str">
        <f ca="1">IFERROR(__xludf.DUMMYFUNCTION("""COMPUTED_VALUE"""),"Menna Eleraky")</f>
        <v>Menna Eleraky</v>
      </c>
      <c r="B248" s="1" t="str">
        <f ca="1">IFERROR(__xludf.DUMMYFUNCTION("""COMPUTED_VALUE"""),"engmenna743@gmail.com")</f>
        <v>engmenna743@gmail.com</v>
      </c>
      <c r="C248" s="1">
        <f ca="1">IFERROR(__xludf.DUMMYFUNCTION("""COMPUTED_VALUE"""),201027648697)</f>
        <v>201027648697</v>
      </c>
      <c r="D248" s="1" t="str">
        <f ca="1">IFERROR(__xludf.DUMMYFUNCTION("""COMPUTED_VALUE"""),"Aga, Eldakahlia , Egypt")</f>
        <v>Aga, Eldakahlia , Egypt</v>
      </c>
      <c r="E248" s="12" t="str">
        <f ca="1">IFERROR(__xludf.DUMMYFUNCTION("""COMPUTED_VALUE"""),"https://www.facebook.com/profile.php?id=61558491870799&amp;mibextid=ZbWKwL")</f>
        <v>https://www.facebook.com/profile.php?id=61558491870799&amp;mibextid=ZbWKwL</v>
      </c>
      <c r="F248" s="12" t="str">
        <f ca="1">IFERROR(__xludf.DUMMYFUNCTION("""COMPUTED_VALUE"""),"https://www.facebook.com/profile.php?id=61558491870799&amp;mibextid=ZbWKwL")</f>
        <v>https://www.facebook.com/profile.php?id=61558491870799&amp;mibextid=ZbWKwL</v>
      </c>
      <c r="G248" s="12" t="str">
        <f ca="1">IFERROR(__xludf.DUMMYFUNCTION("""COMPUTED_VALUE"""),"https://www.facebook.com/profile.php?id=61558491870799&amp;mibextid=ZbWKwL")</f>
        <v>https://www.facebook.com/profile.php?id=61558491870799&amp;mibextid=ZbWKwL</v>
      </c>
      <c r="H248" s="12" t="str">
        <f ca="1">IFERROR(__xludf.DUMMYFUNCTION("""COMPUTED_VALUE"""),"https://www.linkedin.com/in/eng-menna-26535529b?utm_source=share&amp;utm_campaign=share_via&amp;utm_content=profile&amp;utm_medium=android_app")</f>
        <v>https://www.linkedin.com/in/eng-menna-26535529b?utm_source=share&amp;utm_campaign=share_via&amp;utm_content=profile&amp;utm_medium=android_app</v>
      </c>
      <c r="I248" s="1"/>
      <c r="J248" s="12" t="str">
        <f ca="1">IFERROR(__xludf.DUMMYFUNCTION("""COMPUTED_VALUE"""),"https://www.behance.net/mennaelsayed23")</f>
        <v>https://www.behance.net/mennaelsayed23</v>
      </c>
      <c r="K248" s="1" t="str">
        <f ca="1">IFERROR(__xludf.DUMMYFUNCTION("""COMPUTED_VALUE"""),"Mansoura University")</f>
        <v>Mansoura University</v>
      </c>
      <c r="L248" s="1"/>
      <c r="M248" s="1" t="str">
        <f ca="1">IFERROR(__xludf.DUMMYFUNCTION("""COMPUTED_VALUE"""),"Faculty of Computer &amp; Information Science")</f>
        <v>Faculty of Computer &amp; Information Science</v>
      </c>
      <c r="N248" s="1"/>
      <c r="O248" s="1" t="str">
        <f ca="1">IFERROR(__xludf.DUMMYFUNCTION("""COMPUTED_VALUE"""),"2nd Year")</f>
        <v>2nd Year</v>
      </c>
      <c r="R248" s="1" t="s">
        <v>57</v>
      </c>
    </row>
    <row r="249" spans="1:18">
      <c r="A249" s="1" t="str">
        <f ca="1">IFERROR(__xludf.DUMMYFUNCTION("""COMPUTED_VALUE"""),"Raneem ")</f>
        <v xml:space="preserve">Raneem </v>
      </c>
      <c r="B249" s="1" t="str">
        <f ca="1">IFERROR(__xludf.DUMMYFUNCTION("""COMPUTED_VALUE"""),"ranimnimamohsen@gmail.com")</f>
        <v>ranimnimamohsen@gmail.com</v>
      </c>
      <c r="C249" s="1">
        <f ca="1">IFERROR(__xludf.DUMMYFUNCTION("""COMPUTED_VALUE"""),201097755366)</f>
        <v>201097755366</v>
      </c>
      <c r="D249" s="1" t="str">
        <f ca="1">IFERROR(__xludf.DUMMYFUNCTION("""COMPUTED_VALUE"""),"Belqas")</f>
        <v>Belqas</v>
      </c>
      <c r="E249" s="12" t="str">
        <f ca="1">IFERROR(__xludf.DUMMYFUNCTION("""COMPUTED_VALUE"""),"https://www.facebook.com/share/18nhhB6LXS/")</f>
        <v>https://www.facebook.com/share/18nhhB6LXS/</v>
      </c>
      <c r="F249" s="1" t="str">
        <f ca="1">IFERROR(__xludf.DUMMYFUNCTION("""COMPUTED_VALUE"""),"ranim7866")</f>
        <v>ranim7866</v>
      </c>
      <c r="G249" s="1"/>
      <c r="H249" s="1"/>
      <c r="I249" s="1"/>
      <c r="J249" s="1"/>
      <c r="K249" s="1" t="str">
        <f ca="1">IFERROR(__xludf.DUMMYFUNCTION("""COMPUTED_VALUE"""),"Mansoura University")</f>
        <v>Mansoura University</v>
      </c>
      <c r="L249" s="1"/>
      <c r="M249" s="1" t="str">
        <f ca="1">IFERROR(__xludf.DUMMYFUNCTION("""COMPUTED_VALUE"""),"Faculty of Computer &amp; Information Science")</f>
        <v>Faculty of Computer &amp; Information Science</v>
      </c>
      <c r="N249" s="1"/>
      <c r="O249" s="1" t="str">
        <f ca="1">IFERROR(__xludf.DUMMYFUNCTION("""COMPUTED_VALUE"""),"1st Year")</f>
        <v>1st Year</v>
      </c>
      <c r="R249" s="1" t="s">
        <v>386</v>
      </c>
    </row>
    <row r="250" spans="1:18">
      <c r="A250" s="1" t="str">
        <f ca="1">IFERROR(__xludf.DUMMYFUNCTION("""COMPUTED_VALUE"""),"Osama azmy osman ")</f>
        <v xml:space="preserve">Osama azmy osman </v>
      </c>
      <c r="B250" s="1" t="str">
        <f ca="1">IFERROR(__xludf.DUMMYFUNCTION("""COMPUTED_VALUE"""),"osamaelbltagy710@gmail.com")</f>
        <v>osamaelbltagy710@gmail.com</v>
      </c>
      <c r="C250" s="1">
        <f ca="1">IFERROR(__xludf.DUMMYFUNCTION("""COMPUTED_VALUE"""),201070465726)</f>
        <v>201070465726</v>
      </c>
      <c r="D250" s="1" t="str">
        <f ca="1">IFERROR(__xludf.DUMMYFUNCTION("""COMPUTED_VALUE"""),"قرية دموه_مركز دكرنس")</f>
        <v>قرية دموه_مركز دكرنس</v>
      </c>
      <c r="E250" s="12" t="str">
        <f ca="1">IFERROR(__xludf.DUMMYFUNCTION("""COMPUTED_VALUE"""),"https://www.facebook.com/profile.php?id=61568962090031&amp;mibextid=ZbWKwLz")</f>
        <v>https://www.facebook.com/profile.php?id=61568962090031&amp;mibextid=ZbWKwLz</v>
      </c>
      <c r="F250" s="1" t="str">
        <f ca="1">IFERROR(__xludf.DUMMYFUNCTION("""COMPUTED_VALUE"""),"WhatsApp ")</f>
        <v xml:space="preserve">WhatsApp </v>
      </c>
      <c r="G250" s="1"/>
      <c r="H250" s="1"/>
      <c r="I250" s="1"/>
      <c r="J250" s="1"/>
      <c r="K250" s="1" t="str">
        <f ca="1">IFERROR(__xludf.DUMMYFUNCTION("""COMPUTED_VALUE"""),"Mansoura University")</f>
        <v>Mansoura University</v>
      </c>
      <c r="L250" s="1"/>
      <c r="M250" s="1" t="str">
        <f ca="1">IFERROR(__xludf.DUMMYFUNCTION("""COMPUTED_VALUE"""),"Other")</f>
        <v>Other</v>
      </c>
      <c r="N250" s="1" t="str">
        <f ca="1">IFERROR(__xludf.DUMMYFUNCTION("""COMPUTED_VALUE"""),"كليه تجاره")</f>
        <v>كليه تجاره</v>
      </c>
      <c r="O250" s="1" t="str">
        <f ca="1">IFERROR(__xludf.DUMMYFUNCTION("""COMPUTED_VALUE"""),"2nd Year")</f>
        <v>2nd Year</v>
      </c>
      <c r="R250" s="1" t="s">
        <v>387</v>
      </c>
    </row>
    <row r="251" spans="1:18">
      <c r="A251" s="1" t="str">
        <f ca="1">IFERROR(__xludf.DUMMYFUNCTION("""COMPUTED_VALUE"""),"Lamiaa Mohamed dibah")</f>
        <v>Lamiaa Mohamed dibah</v>
      </c>
      <c r="B251" s="1" t="str">
        <f ca="1">IFERROR(__xludf.DUMMYFUNCTION("""COMPUTED_VALUE"""),"lamiaadibah8@gmail.com")</f>
        <v>lamiaadibah8@gmail.com</v>
      </c>
      <c r="C251" s="1">
        <f ca="1">IFERROR(__xludf.DUMMYFUNCTION("""COMPUTED_VALUE"""),201090256095)</f>
        <v>201090256095</v>
      </c>
      <c r="D251" s="1" t="str">
        <f ca="1">IFERROR(__xludf.DUMMYFUNCTION("""COMPUTED_VALUE"""),"شارع مجمع المحاكم")</f>
        <v>شارع مجمع المحاكم</v>
      </c>
      <c r="E251" s="12" t="str">
        <f ca="1">IFERROR(__xludf.DUMMYFUNCTION("""COMPUTED_VALUE"""),"https://www.facebook.com/lamiaa.dibah")</f>
        <v>https://www.facebook.com/lamiaa.dibah</v>
      </c>
      <c r="F251" s="1" t="str">
        <f ca="1">IFERROR(__xludf.DUMMYFUNCTION("""COMPUTED_VALUE"""),"Don't have ")</f>
        <v xml:space="preserve">Don't have </v>
      </c>
      <c r="G251" s="1"/>
      <c r="H251" s="1"/>
      <c r="I251" s="1"/>
      <c r="J251" s="1"/>
      <c r="K251" s="1" t="str">
        <f ca="1">IFERROR(__xludf.DUMMYFUNCTION("""COMPUTED_VALUE"""),"MET")</f>
        <v>MET</v>
      </c>
      <c r="L251" s="1"/>
      <c r="M251" s="1" t="str">
        <f ca="1">IFERROR(__xludf.DUMMYFUNCTION("""COMPUTED_VALUE"""),"Faculty of Computer &amp; Information Science")</f>
        <v>Faculty of Computer &amp; Information Science</v>
      </c>
      <c r="N251" s="1"/>
      <c r="O251" s="1" t="str">
        <f ca="1">IFERROR(__xludf.DUMMYFUNCTION("""COMPUTED_VALUE"""),"2nd Year")</f>
        <v>2nd Year</v>
      </c>
      <c r="R251" s="1" t="s">
        <v>388</v>
      </c>
    </row>
    <row r="252" spans="1:18">
      <c r="A252" s="1" t="str">
        <f ca="1">IFERROR(__xludf.DUMMYFUNCTION("""COMPUTED_VALUE"""),"osama nabil ghnam")</f>
        <v>osama nabil ghnam</v>
      </c>
      <c r="B252" s="1" t="str">
        <f ca="1">IFERROR(__xludf.DUMMYFUNCTION("""COMPUTED_VALUE"""),"osamaghnam24@gmail.com")</f>
        <v>osamaghnam24@gmail.com</v>
      </c>
      <c r="C252" s="1">
        <f ca="1">IFERROR(__xludf.DUMMYFUNCTION("""COMPUTED_VALUE"""),201017146594)</f>
        <v>201017146594</v>
      </c>
      <c r="D252" s="1" t="str">
        <f ca="1">IFERROR(__xludf.DUMMYFUNCTION("""COMPUTED_VALUE"""),"Elmahalla Ekubra ")</f>
        <v xml:space="preserve">Elmahalla Ekubra </v>
      </c>
      <c r="E252" s="12" t="str">
        <f ca="1">IFERROR(__xludf.DUMMYFUNCTION("""COMPUTED_VALUE"""),"https://www.facebook.com/osama.nabil.92317")</f>
        <v>https://www.facebook.com/osama.nabil.92317</v>
      </c>
      <c r="F252" s="1" t="str">
        <f ca="1">IFERROR(__xludf.DUMMYFUNCTION("""COMPUTED_VALUE"""),"1231668864996085830")</f>
        <v>1231668864996085830</v>
      </c>
      <c r="G252" s="1"/>
      <c r="H252" s="1"/>
      <c r="I252" s="1"/>
      <c r="J252" s="1"/>
      <c r="K252" s="1" t="str">
        <f ca="1">IFERROR(__xludf.DUMMYFUNCTION("""COMPUTED_VALUE"""),"Mansoura University")</f>
        <v>Mansoura University</v>
      </c>
      <c r="L252" s="1"/>
      <c r="M252" s="1" t="str">
        <f ca="1">IFERROR(__xludf.DUMMYFUNCTION("""COMPUTED_VALUE"""),"Faculty of Science")</f>
        <v>Faculty of Science</v>
      </c>
      <c r="N252" s="1"/>
      <c r="O252" s="1" t="str">
        <f ca="1">IFERROR(__xludf.DUMMYFUNCTION("""COMPUTED_VALUE"""),"4th Year")</f>
        <v>4th Year</v>
      </c>
      <c r="R252" s="1" t="s">
        <v>389</v>
      </c>
    </row>
    <row r="253" spans="1:18">
      <c r="A253" s="1" t="str">
        <f ca="1">IFERROR(__xludf.DUMMYFUNCTION("""COMPUTED_VALUE"""),"Kareem el-shishtawy")</f>
        <v>Kareem el-shishtawy</v>
      </c>
      <c r="B253" s="1" t="str">
        <f ca="1">IFERROR(__xludf.DUMMYFUNCTION("""COMPUTED_VALUE"""),"kareemelshishtawy160@gmail.com")</f>
        <v>kareemelshishtawy160@gmail.com</v>
      </c>
      <c r="C253" s="1">
        <f ca="1">IFERROR(__xludf.DUMMYFUNCTION("""COMPUTED_VALUE"""),201153651205)</f>
        <v>201153651205</v>
      </c>
      <c r="D253" s="1" t="str">
        <f ca="1">IFERROR(__xludf.DUMMYFUNCTION("""COMPUTED_VALUE"""),"Temai Al Amded,Mansoura ")</f>
        <v xml:space="preserve">Temai Al Amded,Mansoura </v>
      </c>
      <c r="E253" s="12" t="str">
        <f ca="1">IFERROR(__xludf.DUMMYFUNCTION("""COMPUTED_VALUE"""),"https://www.facebook.com/kareem.elshishtawy.9?mibextid=ZbWKwL")</f>
        <v>https://www.facebook.com/kareem.elshishtawy.9?mibextid=ZbWKwL</v>
      </c>
      <c r="F253" s="1" t="str">
        <f ca="1">IFERROR(__xludf.DUMMYFUNCTION("""COMPUTED_VALUE"""),"kareem_sherif22")</f>
        <v>kareem_sherif22</v>
      </c>
      <c r="G253" s="1"/>
      <c r="H253" s="1"/>
      <c r="I253" s="1"/>
      <c r="J253" s="1"/>
      <c r="K253" s="1" t="str">
        <f ca="1">IFERROR(__xludf.DUMMYFUNCTION("""COMPUTED_VALUE"""),"Mansoura University")</f>
        <v>Mansoura University</v>
      </c>
      <c r="L253" s="1"/>
      <c r="M253" s="1" t="str">
        <f ca="1">IFERROR(__xludf.DUMMYFUNCTION("""COMPUTED_VALUE"""),"Faculty of Computer &amp; Information Science")</f>
        <v>Faculty of Computer &amp; Information Science</v>
      </c>
      <c r="N253" s="1"/>
      <c r="O253" s="1" t="str">
        <f ca="1">IFERROR(__xludf.DUMMYFUNCTION("""COMPUTED_VALUE"""),"2nd Year")</f>
        <v>2nd Year</v>
      </c>
      <c r="R253" s="1" t="s">
        <v>390</v>
      </c>
    </row>
    <row r="254" spans="1:18">
      <c r="A254" s="1" t="str">
        <f ca="1">IFERROR(__xludf.DUMMYFUNCTION("""COMPUTED_VALUE"""),"محمد العربي السيد سرحان ")</f>
        <v xml:space="preserve">محمد العربي السيد سرحان </v>
      </c>
      <c r="B254" s="1" t="str">
        <f ca="1">IFERROR(__xludf.DUMMYFUNCTION("""COMPUTED_VALUE"""),"sarhaanmohamed724@gmail.com")</f>
        <v>sarhaanmohamed724@gmail.com</v>
      </c>
      <c r="C254" s="1">
        <f ca="1">IFERROR(__xludf.DUMMYFUNCTION("""COMPUTED_VALUE"""),201022119834)</f>
        <v>201022119834</v>
      </c>
      <c r="D254" s="1" t="str">
        <f ca="1">IFERROR(__xludf.DUMMYFUNCTION("""COMPUTED_VALUE"""),"مركز ومدينه المطريه الدقهليه ")</f>
        <v xml:space="preserve">مركز ومدينه المطريه الدقهليه </v>
      </c>
      <c r="E254" s="12" t="str">
        <f ca="1">IFERROR(__xludf.DUMMYFUNCTION("""COMPUTED_VALUE"""),"https://www.facebook.com/profile.php?id=100028784166623&amp;mibextid=ZbWKwL")</f>
        <v>https://www.facebook.com/profile.php?id=100028784166623&amp;mibextid=ZbWKwL</v>
      </c>
      <c r="F254" s="1" t="str">
        <f ca="1">IFERROR(__xludf.DUMMYFUNCTION("""COMPUTED_VALUE"""),"mohamed1201321")</f>
        <v>mohamed1201321</v>
      </c>
      <c r="G254" s="1"/>
      <c r="H254" s="1"/>
      <c r="I254" s="1"/>
      <c r="J254" s="1"/>
      <c r="K254" s="1" t="str">
        <f ca="1">IFERROR(__xludf.DUMMYFUNCTION("""COMPUTED_VALUE"""),"Mansoura University")</f>
        <v>Mansoura University</v>
      </c>
      <c r="L254" s="1"/>
      <c r="M254" s="1" t="str">
        <f ca="1">IFERROR(__xludf.DUMMYFUNCTION("""COMPUTED_VALUE"""),"Faculty of Computer &amp; Information Science")</f>
        <v>Faculty of Computer &amp; Information Science</v>
      </c>
      <c r="N254" s="1"/>
      <c r="O254" s="1" t="str">
        <f ca="1">IFERROR(__xludf.DUMMYFUNCTION("""COMPUTED_VALUE"""),"2nd Year")</f>
        <v>2nd Year</v>
      </c>
      <c r="R254" s="1" t="s">
        <v>391</v>
      </c>
    </row>
    <row r="255" spans="1:18">
      <c r="A255" s="1" t="str">
        <f ca="1">IFERROR(__xludf.DUMMYFUNCTION("""COMPUTED_VALUE"""),"Ahmed El Sayed Salem")</f>
        <v>Ahmed El Sayed Salem</v>
      </c>
      <c r="B255" s="1" t="str">
        <f ca="1">IFERROR(__xludf.DUMMYFUNCTION("""COMPUTED_VALUE"""),"salemsayed442@gmail.com")</f>
        <v>salemsayed442@gmail.com</v>
      </c>
      <c r="C255" s="1">
        <f ca="1">IFERROR(__xludf.DUMMYFUNCTION("""COMPUTED_VALUE"""),201022101894)</f>
        <v>201022101894</v>
      </c>
      <c r="D255" s="1" t="str">
        <f ca="1">IFERROR(__xludf.DUMMYFUNCTION("""COMPUTED_VALUE"""),"الدقهليه منيه النصر الرياض")</f>
        <v>الدقهليه منيه النصر الرياض</v>
      </c>
      <c r="E255" s="12" t="str">
        <f ca="1">IFERROR(__xludf.DUMMYFUNCTION("""COMPUTED_VALUE"""),"https://www.facebook.com/profile.php?id=100006662254259")</f>
        <v>https://www.facebook.com/profile.php?id=100006662254259</v>
      </c>
      <c r="F255" s="1" t="str">
        <f ca="1">IFERROR(__xludf.DUMMYFUNCTION("""COMPUTED_VALUE"""),"conandoyal")</f>
        <v>conandoyal</v>
      </c>
      <c r="G255" s="12" t="str">
        <f ca="1">IFERROR(__xludf.DUMMYFUNCTION("""COMPUTED_VALUE"""),"https://x.com/AhmedSalem25545")</f>
        <v>https://x.com/AhmedSalem25545</v>
      </c>
      <c r="H255" s="12" t="str">
        <f ca="1">IFERROR(__xludf.DUMMYFUNCTION("""COMPUTED_VALUE"""),"linkedin.com/in/ahmed-salem-6ab8a12a3")</f>
        <v>linkedin.com/in/ahmed-salem-6ab8a12a3</v>
      </c>
      <c r="I255" s="12" t="str">
        <f ca="1">IFERROR(__xludf.DUMMYFUNCTION("""COMPUTED_VALUE"""),"https://github.com/ahmedsaloma")</f>
        <v>https://github.com/ahmedsaloma</v>
      </c>
      <c r="J255" s="1"/>
      <c r="K255" s="1" t="str">
        <f ca="1">IFERROR(__xludf.DUMMYFUNCTION("""COMPUTED_VALUE"""),"Mansoura University")</f>
        <v>Mansoura University</v>
      </c>
      <c r="L255" s="1"/>
      <c r="M255" s="1" t="str">
        <f ca="1">IFERROR(__xludf.DUMMYFUNCTION("""COMPUTED_VALUE"""),"Faculty of Computer &amp; Information Science")</f>
        <v>Faculty of Computer &amp; Information Science</v>
      </c>
      <c r="N255" s="1"/>
      <c r="O255" s="1" t="str">
        <f ca="1">IFERROR(__xludf.DUMMYFUNCTION("""COMPUTED_VALUE"""),"2nd Year")</f>
        <v>2nd Year</v>
      </c>
      <c r="R255" s="1" t="s">
        <v>13</v>
      </c>
    </row>
    <row r="256" spans="1:18">
      <c r="A256" s="1" t="str">
        <f ca="1">IFERROR(__xludf.DUMMYFUNCTION("""COMPUTED_VALUE"""),"Mohamedramy Modalal")</f>
        <v>Mohamedramy Modalal</v>
      </c>
      <c r="B256" s="1" t="str">
        <f ca="1">IFERROR(__xludf.DUMMYFUNCTION("""COMPUTED_VALUE"""),"ramy.md.881@gmail.com")</f>
        <v>ramy.md.881@gmail.com</v>
      </c>
      <c r="C256" s="1">
        <f ca="1">IFERROR(__xludf.DUMMYFUNCTION("""COMPUTED_VALUE"""),201025632730)</f>
        <v>201025632730</v>
      </c>
      <c r="D256" s="1" t="str">
        <f ca="1">IFERROR(__xludf.DUMMYFUNCTION("""COMPUTED_VALUE"""),"New Damitta")</f>
        <v>New Damitta</v>
      </c>
      <c r="E256" s="12" t="str">
        <f ca="1">IFERROR(__xludf.DUMMYFUNCTION("""COMPUTED_VALUE"""),"https://www.facebook.com/ramy.mod.md?mibextid=ZbWKwL")</f>
        <v>https://www.facebook.com/ramy.mod.md?mibextid=ZbWKwL</v>
      </c>
      <c r="F256" s="1" t="str">
        <f ca="1">IFERROR(__xludf.DUMMYFUNCTION("""COMPUTED_VALUE"""),"ramy_mod")</f>
        <v>ramy_mod</v>
      </c>
      <c r="G256" s="12" t="str">
        <f ca="1">IFERROR(__xludf.DUMMYFUNCTION("""COMPUTED_VALUE"""),"https://twitter.com/RModalal")</f>
        <v>https://twitter.com/RModalal</v>
      </c>
      <c r="H256" s="12" t="str">
        <f ca="1">IFERROR(__xludf.DUMMYFUNCTION("""COMPUTED_VALUE"""),"https://www.linkedin.com/in/ramy-modalal-1705ba258?utm_source=share&amp;utm_campaign=share_via&amp;utm_content=profile&amp;utm_medium=android_app")</f>
        <v>https://www.linkedin.com/in/ramy-modalal-1705ba258?utm_source=share&amp;utm_campaign=share_via&amp;utm_content=profile&amp;utm_medium=android_app</v>
      </c>
      <c r="I256" s="12" t="str">
        <f ca="1">IFERROR(__xludf.DUMMYFUNCTION("""COMPUTED_VALUE"""),"https://github.com/ramymod")</f>
        <v>https://github.com/ramymod</v>
      </c>
      <c r="J256" s="12" t="str">
        <f ca="1">IFERROR(__xludf.DUMMYFUNCTION("""COMPUTED_VALUE"""),"https://twitter.com/RModalal")</f>
        <v>https://twitter.com/RModalal</v>
      </c>
      <c r="K256" s="1" t="str">
        <f ca="1">IFERROR(__xludf.DUMMYFUNCTION("""COMPUTED_VALUE"""),"Mansoura University")</f>
        <v>Mansoura University</v>
      </c>
      <c r="L256" s="1"/>
      <c r="M256" s="1" t="str">
        <f ca="1">IFERROR(__xludf.DUMMYFUNCTION("""COMPUTED_VALUE"""),"Faculty of Computer &amp; Information Science")</f>
        <v>Faculty of Computer &amp; Information Science</v>
      </c>
      <c r="N256" s="1"/>
      <c r="O256" s="1" t="str">
        <f ca="1">IFERROR(__xludf.DUMMYFUNCTION("""COMPUTED_VALUE"""),"3rd Year")</f>
        <v>3rd Year</v>
      </c>
      <c r="R256" s="1" t="s">
        <v>392</v>
      </c>
    </row>
    <row r="257" spans="1:18">
      <c r="A257" s="1" t="str">
        <f ca="1">IFERROR(__xludf.DUMMYFUNCTION("""COMPUTED_VALUE"""),"Noran Mohamed Samy")</f>
        <v>Noran Mohamed Samy</v>
      </c>
      <c r="B257" s="1" t="str">
        <f ca="1">IFERROR(__xludf.DUMMYFUNCTION("""COMPUTED_VALUE"""),"nouranelmahdy532004@gmail.com")</f>
        <v>nouranelmahdy532004@gmail.com</v>
      </c>
      <c r="C257" s="1">
        <f ca="1">IFERROR(__xludf.DUMMYFUNCTION("""COMPUTED_VALUE"""),201205612509)</f>
        <v>201205612509</v>
      </c>
      <c r="D257" s="1" t="str">
        <f ca="1">IFERROR(__xludf.DUMMYFUNCTION("""COMPUTED_VALUE"""),"El-Mahalla El-Kubra")</f>
        <v>El-Mahalla El-Kubra</v>
      </c>
      <c r="E257" s="12" t="str">
        <f ca="1">IFERROR(__xludf.DUMMYFUNCTION("""COMPUTED_VALUE"""),"https://www.facebook.com/nouran.mohamed.90")</f>
        <v>https://www.facebook.com/nouran.mohamed.90</v>
      </c>
      <c r="F257" s="1" t="str">
        <f ca="1">IFERROR(__xludf.DUMMYFUNCTION("""COMPUTED_VALUE"""),"nouran__")</f>
        <v>nouran__</v>
      </c>
      <c r="G257" s="12" t="str">
        <f ca="1">IFERROR(__xludf.DUMMYFUNCTION("""COMPUTED_VALUE"""),"https://x.com/NouranM66012543")</f>
        <v>https://x.com/NouranM66012543</v>
      </c>
      <c r="H257" s="12" t="str">
        <f ca="1">IFERROR(__xludf.DUMMYFUNCTION("""COMPUTED_VALUE"""),"http://www.linkedin.com/in/noran-samy-8bab28259")</f>
        <v>http://www.linkedin.com/in/noran-samy-8bab28259</v>
      </c>
      <c r="I257" s="12" t="str">
        <f ca="1">IFERROR(__xludf.DUMMYFUNCTION("""COMPUTED_VALUE"""),"https://github.com/Noran-cloud")</f>
        <v>https://github.com/Noran-cloud</v>
      </c>
      <c r="J257" s="1"/>
      <c r="K257" s="1" t="str">
        <f ca="1">IFERROR(__xludf.DUMMYFUNCTION("""COMPUTED_VALUE"""),"Mansoura University")</f>
        <v>Mansoura University</v>
      </c>
      <c r="L257" s="1"/>
      <c r="M257" s="1" t="str">
        <f ca="1">IFERROR(__xludf.DUMMYFUNCTION("""COMPUTED_VALUE"""),"Faculty of Computer &amp; Information Science")</f>
        <v>Faculty of Computer &amp; Information Science</v>
      </c>
      <c r="N257" s="1"/>
      <c r="O257" s="1" t="str">
        <f ca="1">IFERROR(__xludf.DUMMYFUNCTION("""COMPUTED_VALUE"""),"3rd Year")</f>
        <v>3rd Year</v>
      </c>
      <c r="R257" s="1" t="s">
        <v>393</v>
      </c>
    </row>
    <row r="258" spans="1:18">
      <c r="A258" s="1" t="str">
        <f ca="1">IFERROR(__xludf.DUMMYFUNCTION("""COMPUTED_VALUE"""),"Minnah Mostafa Almoselhy")</f>
        <v>Minnah Mostafa Almoselhy</v>
      </c>
      <c r="B258" s="1" t="str">
        <f ca="1">IFERROR(__xludf.DUMMYFUNCTION("""COMPUTED_VALUE"""),"minnah.24.1.1@gmail.com")</f>
        <v>minnah.24.1.1@gmail.com</v>
      </c>
      <c r="C258" s="1">
        <f ca="1">IFERROR(__xludf.DUMMYFUNCTION("""COMPUTED_VALUE"""),201016417874)</f>
        <v>201016417874</v>
      </c>
      <c r="D258" s="1" t="str">
        <f ca="1">IFERROR(__xludf.DUMMYFUNCTION("""COMPUTED_VALUE"""),"El Mahalla Elsalam street ")</f>
        <v xml:space="preserve">El Mahalla Elsalam street </v>
      </c>
      <c r="E258" s="12" t="str">
        <f ca="1">IFERROR(__xludf.DUMMYFUNCTION("""COMPUTED_VALUE"""),"https://www.facebook.com/minnah.mostafa?mibextid=LQQJ4d&amp;mibextid=LQQJ4d")</f>
        <v>https://www.facebook.com/minnah.mostafa?mibextid=LQQJ4d&amp;mibextid=LQQJ4d</v>
      </c>
      <c r="F258" s="1" t="str">
        <f ca="1">IFERROR(__xludf.DUMMYFUNCTION("""COMPUTED_VALUE"""),"User name : yumiko5625")</f>
        <v>User name : yumiko5625</v>
      </c>
      <c r="G258" s="12" t="str">
        <f ca="1">IFERROR(__xludf.DUMMYFUNCTION("""COMPUTED_VALUE"""),"https://x.com/7rtvi?s=21")</f>
        <v>https://x.com/7rtvi?s=21</v>
      </c>
      <c r="H258" s="12" t="str">
        <f ca="1">IFERROR(__xludf.DUMMYFUNCTION("""COMPUTED_VALUE"""),"https://www.linkedin.com/in/minnah-mostafa-991182320?utm_source=share&amp;utm_campaign=share_via&amp;utm_content=profile&amp;utm_medium=ios_app")</f>
        <v>https://www.linkedin.com/in/minnah-mostafa-991182320?utm_source=share&amp;utm_campaign=share_via&amp;utm_content=profile&amp;utm_medium=ios_app</v>
      </c>
      <c r="I258" s="12" t="str">
        <f ca="1">IFERROR(__xludf.DUMMYFUNCTION("""COMPUTED_VALUE"""),"https://github.com/Minnah77")</f>
        <v>https://github.com/Minnah77</v>
      </c>
      <c r="J258" s="12" t="str">
        <f ca="1">IFERROR(__xludf.DUMMYFUNCTION("""COMPUTED_VALUE"""),"https://www.behance.net/boody5104fcd9")</f>
        <v>https://www.behance.net/boody5104fcd9</v>
      </c>
      <c r="K258" s="1" t="str">
        <f ca="1">IFERROR(__xludf.DUMMYFUNCTION("""COMPUTED_VALUE"""),"Other")</f>
        <v>Other</v>
      </c>
      <c r="L258" s="1"/>
      <c r="M258" s="1" t="str">
        <f ca="1">IFERROR(__xludf.DUMMYFUNCTION("""COMPUTED_VALUE"""),"Faculty of Computer &amp; Information Science")</f>
        <v>Faculty of Computer &amp; Information Science</v>
      </c>
      <c r="N258" s="1"/>
      <c r="O258" s="1" t="str">
        <f ca="1">IFERROR(__xludf.DUMMYFUNCTION("""COMPUTED_VALUE"""),"2nd Year")</f>
        <v>2nd Year</v>
      </c>
      <c r="R258" s="1" t="s">
        <v>394</v>
      </c>
    </row>
    <row r="259" spans="1:18">
      <c r="A259" s="1" t="str">
        <f ca="1">IFERROR(__xludf.DUMMYFUNCTION("""COMPUTED_VALUE"""),"Layal Ayman")</f>
        <v>Layal Ayman</v>
      </c>
      <c r="B259" s="1" t="str">
        <f ca="1">IFERROR(__xludf.DUMMYFUNCTION("""COMPUTED_VALUE"""),"layalayman333@gmail.com")</f>
        <v>layalayman333@gmail.com</v>
      </c>
      <c r="C259" s="1">
        <f ca="1">IFERROR(__xludf.DUMMYFUNCTION("""COMPUTED_VALUE"""),201007648486)</f>
        <v>201007648486</v>
      </c>
      <c r="D259" s="1" t="str">
        <f ca="1">IFERROR(__xludf.DUMMYFUNCTION("""COMPUTED_VALUE"""),"Mansoura")</f>
        <v>Mansoura</v>
      </c>
      <c r="E259" s="12" t="str">
        <f ca="1">IFERROR(__xludf.DUMMYFUNCTION("""COMPUTED_VALUE"""),"https://www.facebook.com/share/14ejAREq2C/?mibextid=LQQJ4d")</f>
        <v>https://www.facebook.com/share/14ejAREq2C/?mibextid=LQQJ4d</v>
      </c>
      <c r="F259" s="1" t="str">
        <f ca="1">IFERROR(__xludf.DUMMYFUNCTION("""COMPUTED_VALUE"""),"Iam___layal")</f>
        <v>Iam___layal</v>
      </c>
      <c r="G259" s="1"/>
      <c r="H259" s="1"/>
      <c r="I259" s="1"/>
      <c r="J259" s="1"/>
      <c r="K259" s="1" t="str">
        <f ca="1">IFERROR(__xludf.DUMMYFUNCTION("""COMPUTED_VALUE"""),"Mansoura University")</f>
        <v>Mansoura University</v>
      </c>
      <c r="L259" s="1"/>
      <c r="M259" s="1" t="str">
        <f ca="1">IFERROR(__xludf.DUMMYFUNCTION("""COMPUTED_VALUE"""),"Faculty of Engineering")</f>
        <v>Faculty of Engineering</v>
      </c>
      <c r="N259" s="1"/>
      <c r="O259" s="1" t="str">
        <f ca="1">IFERROR(__xludf.DUMMYFUNCTION("""COMPUTED_VALUE"""),"2nd Year")</f>
        <v>2nd Year</v>
      </c>
      <c r="R259" s="1" t="s">
        <v>395</v>
      </c>
    </row>
    <row r="260" spans="1:18">
      <c r="A260" s="1" t="str">
        <f ca="1">IFERROR(__xludf.DUMMYFUNCTION("""COMPUTED_VALUE"""),"هناء نبيل ")</f>
        <v xml:space="preserve">هناء نبيل </v>
      </c>
      <c r="B260" s="1" t="str">
        <f ca="1">IFERROR(__xludf.DUMMYFUNCTION("""COMPUTED_VALUE"""),"hanaanabilzedan@gmail.com")</f>
        <v>hanaanabilzedan@gmail.com</v>
      </c>
      <c r="C260" s="1">
        <f ca="1">IFERROR(__xludf.DUMMYFUNCTION("""COMPUTED_VALUE"""),201014976021)</f>
        <v>201014976021</v>
      </c>
      <c r="D260" s="1" t="str">
        <f ca="1">IFERROR(__xludf.DUMMYFUNCTION("""COMPUTED_VALUE"""),"Mahala")</f>
        <v>Mahala</v>
      </c>
      <c r="E260" s="12" t="str">
        <f ca="1">IFERROR(__xludf.DUMMYFUNCTION("""COMPUTED_VALUE"""),"https://www.facebook.com/hanaanabil.22?mibextid=ZbWKwL")</f>
        <v>https://www.facebook.com/hanaanabil.22?mibextid=ZbWKwL</v>
      </c>
      <c r="F260" s="1" t="str">
        <f ca="1">IFERROR(__xludf.DUMMYFUNCTION("""COMPUTED_VALUE"""),"Hanaa3236")</f>
        <v>Hanaa3236</v>
      </c>
      <c r="G260" s="12" t="str">
        <f ca="1">IFERROR(__xludf.DUMMYFUNCTION("""COMPUTED_VALUE"""),"https://www.facebook.com/hanaanabil.22?mibextid=ZbWKwL")</f>
        <v>https://www.facebook.com/hanaanabil.22?mibextid=ZbWKwL</v>
      </c>
      <c r="H260" s="12" t="str">
        <f ca="1">IFERROR(__xludf.DUMMYFUNCTION("""COMPUTED_VALUE"""),"https://www.linkedin.com/in/hanaa-nabil-a52549252?utm_source=share&amp;utm_campaign=share_via&amp;utm_content=profile&amp;utm_medium=android_app")</f>
        <v>https://www.linkedin.com/in/hanaa-nabil-a52549252?utm_source=share&amp;utm_campaign=share_via&amp;utm_content=profile&amp;utm_medium=android_app</v>
      </c>
      <c r="I260" s="1"/>
      <c r="J260" s="1"/>
      <c r="K260" s="1" t="str">
        <f ca="1">IFERROR(__xludf.DUMMYFUNCTION("""COMPUTED_VALUE"""),"Mansoura University")</f>
        <v>Mansoura University</v>
      </c>
      <c r="L260" s="1"/>
      <c r="M260" s="1" t="str">
        <f ca="1">IFERROR(__xludf.DUMMYFUNCTION("""COMPUTED_VALUE"""),"Faculty of Computer &amp; Information Science")</f>
        <v>Faculty of Computer &amp; Information Science</v>
      </c>
      <c r="N260" s="1"/>
      <c r="O260" s="1" t="str">
        <f ca="1">IFERROR(__xludf.DUMMYFUNCTION("""COMPUTED_VALUE"""),"3rd Year")</f>
        <v>3rd Year</v>
      </c>
      <c r="R260" s="1" t="s">
        <v>20</v>
      </c>
    </row>
    <row r="261" spans="1:18">
      <c r="A261" s="1" t="str">
        <f ca="1">IFERROR(__xludf.DUMMYFUNCTION("""COMPUTED_VALUE"""),"خلود هشام أبواليزيد الطريفى")</f>
        <v>خلود هشام أبواليزيد الطريفى</v>
      </c>
      <c r="B261" s="1" t="str">
        <f ca="1">IFERROR(__xludf.DUMMYFUNCTION("""COMPUTED_VALUE"""),"kholoudhisham85@gmail.com")</f>
        <v>kholoudhisham85@gmail.com</v>
      </c>
      <c r="C261" s="1">
        <f ca="1">IFERROR(__xludf.DUMMYFUNCTION("""COMPUTED_VALUE"""),201096219755)</f>
        <v>201096219755</v>
      </c>
      <c r="D261" s="1" t="str">
        <f ca="1">IFERROR(__xludf.DUMMYFUNCTION("""COMPUTED_VALUE"""),"دكرنس-الدقهلية")</f>
        <v>دكرنس-الدقهلية</v>
      </c>
      <c r="E261" s="1" t="str">
        <f ca="1">IFERROR(__xludf.DUMMYFUNCTION("""COMPUTED_VALUE"""),"kholoudhisham85@gmail.com")</f>
        <v>kholoudhisham85@gmail.com</v>
      </c>
      <c r="F261" s="1" t="str">
        <f ca="1">IFERROR(__xludf.DUMMYFUNCTION("""COMPUTED_VALUE"""),"ليس لدى")</f>
        <v>ليس لدى</v>
      </c>
      <c r="G261" s="1"/>
      <c r="H261" s="1"/>
      <c r="I261" s="1"/>
      <c r="J261" s="1"/>
      <c r="K261" s="1" t="str">
        <f ca="1">IFERROR(__xludf.DUMMYFUNCTION("""COMPUTED_VALUE"""),"Mansoura University")</f>
        <v>Mansoura University</v>
      </c>
      <c r="L261" s="1"/>
      <c r="M261" s="1" t="str">
        <f ca="1">IFERROR(__xludf.DUMMYFUNCTION("""COMPUTED_VALUE"""),"Faculty of Computer &amp; Information Science")</f>
        <v>Faculty of Computer &amp; Information Science</v>
      </c>
      <c r="N261" s="1"/>
      <c r="O261" s="1" t="str">
        <f ca="1">IFERROR(__xludf.DUMMYFUNCTION("""COMPUTED_VALUE"""),"2nd Year")</f>
        <v>2nd Year</v>
      </c>
      <c r="R261" s="1" t="s">
        <v>396</v>
      </c>
    </row>
    <row r="262" spans="1:18">
      <c r="A262" s="1" t="str">
        <f ca="1">IFERROR(__xludf.DUMMYFUNCTION("""COMPUTED_VALUE"""),"Hassan Mohammed Hassan")</f>
        <v>Hassan Mohammed Hassan</v>
      </c>
      <c r="B262" s="1" t="str">
        <f ca="1">IFERROR(__xludf.DUMMYFUNCTION("""COMPUTED_VALUE"""),"hassanelsharkha233@gmail.com")</f>
        <v>hassanelsharkha233@gmail.com</v>
      </c>
      <c r="C262" s="1">
        <f ca="1">IFERROR(__xludf.DUMMYFUNCTION("""COMPUTED_VALUE"""),201211576882)</f>
        <v>201211576882</v>
      </c>
      <c r="D262" s="1" t="str">
        <f ca="1">IFERROR(__xludf.DUMMYFUNCTION("""COMPUTED_VALUE"""),"Mansoura ")</f>
        <v xml:space="preserve">Mansoura </v>
      </c>
      <c r="E262" s="12" t="str">
        <f ca="1">IFERROR(__xludf.DUMMYFUNCTION("""COMPUTED_VALUE"""),"https://www.facebook.com/hassan.elsharkha?mibextid=ZbWKwL")</f>
        <v>https://www.facebook.com/hassan.elsharkha?mibextid=ZbWKwL</v>
      </c>
      <c r="F262" s="1" t="str">
        <f ca="1">IFERROR(__xludf.DUMMYFUNCTION("""COMPUTED_VALUE"""),"hassan015361")</f>
        <v>hassan015361</v>
      </c>
      <c r="G262" s="1"/>
      <c r="H262" s="1"/>
      <c r="I262" s="1"/>
      <c r="J262" s="1"/>
      <c r="K262" s="1" t="str">
        <f ca="1">IFERROR(__xludf.DUMMYFUNCTION("""COMPUTED_VALUE"""),"Mansoura University")</f>
        <v>Mansoura University</v>
      </c>
      <c r="L262" s="1"/>
      <c r="M262" s="1" t="str">
        <f ca="1">IFERROR(__xludf.DUMMYFUNCTION("""COMPUTED_VALUE"""),"Faculty of Computer &amp; Information Science")</f>
        <v>Faculty of Computer &amp; Information Science</v>
      </c>
      <c r="N262" s="1"/>
      <c r="O262" s="1" t="str">
        <f ca="1">IFERROR(__xludf.DUMMYFUNCTION("""COMPUTED_VALUE"""),"1st Year")</f>
        <v>1st Year</v>
      </c>
      <c r="R262" s="1" t="s">
        <v>397</v>
      </c>
    </row>
    <row r="263" spans="1:18">
      <c r="A263" s="1" t="str">
        <f ca="1">IFERROR(__xludf.DUMMYFUNCTION("""COMPUTED_VALUE"""),"جنة حمدي رفعت العجمي")</f>
        <v>جنة حمدي رفعت العجمي</v>
      </c>
      <c r="B263" s="1" t="str">
        <f ca="1">IFERROR(__xludf.DUMMYFUNCTION("""COMPUTED_VALUE"""),"gannag204@gmail.com")</f>
        <v>gannag204@gmail.com</v>
      </c>
      <c r="C263" s="1">
        <f ca="1">IFERROR(__xludf.DUMMYFUNCTION("""COMPUTED_VALUE"""),201159270010)</f>
        <v>201159270010</v>
      </c>
      <c r="D263" s="1" t="str">
        <f ca="1">IFERROR(__xludf.DUMMYFUNCTION("""COMPUTED_VALUE"""),"دمياط القديمة - العنانية")</f>
        <v>دمياط القديمة - العنانية</v>
      </c>
      <c r="E263" s="12" t="str">
        <f ca="1">IFERROR(__xludf.DUMMYFUNCTION("""COMPUTED_VALUE"""),"https://www.facebook.com/share/1BkDHLXXnv/")</f>
        <v>https://www.facebook.com/share/1BkDHLXXnv/</v>
      </c>
      <c r="F263" s="1" t="str">
        <f ca="1">IFERROR(__xludf.DUMMYFUNCTION("""COMPUTED_VALUE"""),"l1921l")</f>
        <v>l1921l</v>
      </c>
      <c r="G263" s="12" t="str">
        <f ca="1">IFERROR(__xludf.DUMMYFUNCTION("""COMPUTED_VALUE"""),"https://x.com/gannah10526")</f>
        <v>https://x.com/gannah10526</v>
      </c>
      <c r="H263" s="12" t="str">
        <f ca="1">IFERROR(__xludf.DUMMYFUNCTION("""COMPUTED_VALUE"""),"https://www.linkedin.com/in/gannah-elagamy-40433633a?utm_source=share&amp;utm_campaign=share_via&amp;utm_content=profile&amp;utm_medium=android_app")</f>
        <v>https://www.linkedin.com/in/gannah-elagamy-40433633a?utm_source=share&amp;utm_campaign=share_via&amp;utm_content=profile&amp;utm_medium=android_app</v>
      </c>
      <c r="I263" s="1"/>
      <c r="J263" s="1"/>
      <c r="K263" s="1" t="str">
        <f ca="1">IFERROR(__xludf.DUMMYFUNCTION("""COMPUTED_VALUE"""),"Mansoura University")</f>
        <v>Mansoura University</v>
      </c>
      <c r="L263" s="1"/>
      <c r="M263" s="1" t="str">
        <f ca="1">IFERROR(__xludf.DUMMYFUNCTION("""COMPUTED_VALUE"""),"Faculty of Engineering")</f>
        <v>Faculty of Engineering</v>
      </c>
      <c r="N263" s="1"/>
      <c r="O263" s="1" t="str">
        <f ca="1">IFERROR(__xludf.DUMMYFUNCTION("""COMPUTED_VALUE"""),"1st Year")</f>
        <v>1st Year</v>
      </c>
      <c r="R263" s="1" t="s">
        <v>398</v>
      </c>
    </row>
    <row r="264" spans="1:18">
      <c r="A264" s="1" t="str">
        <f ca="1">IFERROR(__xludf.DUMMYFUNCTION("""COMPUTED_VALUE"""),"Rawan Esmail")</f>
        <v>Rawan Esmail</v>
      </c>
      <c r="B264" s="1" t="str">
        <f ca="1">IFERROR(__xludf.DUMMYFUNCTION("""COMPUTED_VALUE"""),"rawanelsherbini66@gmail.com")</f>
        <v>rawanelsherbini66@gmail.com</v>
      </c>
      <c r="C264" s="1">
        <f ca="1">IFERROR(__xludf.DUMMYFUNCTION("""COMPUTED_VALUE"""),201069020367)</f>
        <v>201069020367</v>
      </c>
      <c r="D264" s="1" t="str">
        <f ca="1">IFERROR(__xludf.DUMMYFUNCTION("""COMPUTED_VALUE"""),"sherbin-elmansoura")</f>
        <v>sherbin-elmansoura</v>
      </c>
      <c r="E264" s="1" t="str">
        <f ca="1">IFERROR(__xludf.DUMMYFUNCTION("""COMPUTED_VALUE"""),"rawan.elsherbini.9")</f>
        <v>rawan.elsherbini.9</v>
      </c>
      <c r="F264" s="1" t="str">
        <f ca="1">IFERROR(__xludf.DUMMYFUNCTION("""COMPUTED_VALUE"""),"rawan.elsherbini.9")</f>
        <v>rawan.elsherbini.9</v>
      </c>
      <c r="G264" s="12" t="str">
        <f ca="1">IFERROR(__xludf.DUMMYFUNCTION("""COMPUTED_VALUE"""),"https://x.com/rawan_esmail19")</f>
        <v>https://x.com/rawan_esmail19</v>
      </c>
      <c r="H264" s="12" t="str">
        <f ca="1">IFERROR(__xludf.DUMMYFUNCTION("""COMPUTED_VALUE"""),"https://www.linkedin.com/in/rawan-esmail-38601433a/")</f>
        <v>https://www.linkedin.com/in/rawan-esmail-38601433a/</v>
      </c>
      <c r="I264" s="12" t="str">
        <f ca="1">IFERROR(__xludf.DUMMYFUNCTION("""COMPUTED_VALUE"""),"github.com/RawanEsmail19")</f>
        <v>github.com/RawanEsmail19</v>
      </c>
      <c r="J264" s="12" t="str">
        <f ca="1">IFERROR(__xludf.DUMMYFUNCTION("""COMPUTED_VALUE"""),"github.com/RawanEsmail19")</f>
        <v>github.com/RawanEsmail19</v>
      </c>
      <c r="K264" s="1" t="str">
        <f ca="1">IFERROR(__xludf.DUMMYFUNCTION("""COMPUTED_VALUE"""),"Mansoura University")</f>
        <v>Mansoura University</v>
      </c>
      <c r="L264" s="1"/>
      <c r="M264" s="1" t="str">
        <f ca="1">IFERROR(__xludf.DUMMYFUNCTION("""COMPUTED_VALUE"""),"Faculty of Computer &amp; Information Science")</f>
        <v>Faculty of Computer &amp; Information Science</v>
      </c>
      <c r="N264" s="1"/>
      <c r="O264" s="1" t="str">
        <f ca="1">IFERROR(__xludf.DUMMYFUNCTION("""COMPUTED_VALUE"""),"3rd Year")</f>
        <v>3rd Year</v>
      </c>
      <c r="R264" s="1" t="s">
        <v>399</v>
      </c>
    </row>
    <row r="265" spans="1:18">
      <c r="A265" s="1" t="str">
        <f ca="1">IFERROR(__xludf.DUMMYFUNCTION("""COMPUTED_VALUE"""),"Saif yasser morgan")</f>
        <v>Saif yasser morgan</v>
      </c>
      <c r="B265" s="1" t="str">
        <f ca="1">IFERROR(__xludf.DUMMYFUNCTION("""COMPUTED_VALUE"""),"morgansaif8@gmail.com")</f>
        <v>morgansaif8@gmail.com</v>
      </c>
      <c r="C265" s="1">
        <f ca="1">IFERROR(__xludf.DUMMYFUNCTION("""COMPUTED_VALUE"""),201022147275)</f>
        <v>201022147275</v>
      </c>
      <c r="D265" s="1" t="str">
        <f ca="1">IFERROR(__xludf.DUMMYFUNCTION("""COMPUTED_VALUE"""),"Aga ")</f>
        <v xml:space="preserve">Aga </v>
      </c>
      <c r="E265" s="12" t="str">
        <f ca="1">IFERROR(__xludf.DUMMYFUNCTION("""COMPUTED_VALUE"""),"https://www.facebook.com/share/19SdrSRHsL/")</f>
        <v>https://www.facebook.com/share/19SdrSRHsL/</v>
      </c>
      <c r="F265" s="12" t="str">
        <f ca="1">IFERROR(__xludf.DUMMYFUNCTION("""COMPUTED_VALUE"""),"https://www.facebook.com/share/19SdrSRHsL/")</f>
        <v>https://www.facebook.com/share/19SdrSRHsL/</v>
      </c>
      <c r="G265" s="12" t="str">
        <f ca="1">IFERROR(__xludf.DUMMYFUNCTION("""COMPUTED_VALUE"""),"https://www.facebook.com/share/19SdrSRHsL/")</f>
        <v>https://www.facebook.com/share/19SdrSRHsL/</v>
      </c>
      <c r="H265" s="12" t="str">
        <f ca="1">IFERROR(__xludf.DUMMYFUNCTION("""COMPUTED_VALUE"""),"https://www.facebook.com/share/19SdrSRHsL/")</f>
        <v>https://www.facebook.com/share/19SdrSRHsL/</v>
      </c>
      <c r="I265" s="12" t="str">
        <f ca="1">IFERROR(__xludf.DUMMYFUNCTION("""COMPUTED_VALUE"""),"https://www.facebook.com/share/19SdrSRHsL/")</f>
        <v>https://www.facebook.com/share/19SdrSRHsL/</v>
      </c>
      <c r="J265" s="12" t="str">
        <f ca="1">IFERROR(__xludf.DUMMYFUNCTION("""COMPUTED_VALUE"""),"https://www.facebook.com/share/19SdrSRHsL/")</f>
        <v>https://www.facebook.com/share/19SdrSRHsL/</v>
      </c>
      <c r="K265" s="1" t="str">
        <f ca="1">IFERROR(__xludf.DUMMYFUNCTION("""COMPUTED_VALUE"""),"Mansoura University")</f>
        <v>Mansoura University</v>
      </c>
      <c r="L265" s="1"/>
      <c r="M265" s="1" t="str">
        <f ca="1">IFERROR(__xludf.DUMMYFUNCTION("""COMPUTED_VALUE"""),"Faculty of Computer &amp; Information Science")</f>
        <v>Faculty of Computer &amp; Information Science</v>
      </c>
      <c r="N265" s="1"/>
      <c r="O265" s="1" t="str">
        <f ca="1">IFERROR(__xludf.DUMMYFUNCTION("""COMPUTED_VALUE"""),"1st Year")</f>
        <v>1st Year</v>
      </c>
      <c r="R265" s="1" t="s">
        <v>400</v>
      </c>
    </row>
    <row r="266" spans="1:18">
      <c r="A266" s="1" t="str">
        <f ca="1">IFERROR(__xludf.DUMMYFUNCTION("""COMPUTED_VALUE"""),"Martina Ibrahim wadee Ibrahim ")</f>
        <v xml:space="preserve">Martina Ibrahim wadee Ibrahim </v>
      </c>
      <c r="B266" s="1" t="str">
        <f ca="1">IFERROR(__xludf.DUMMYFUNCTION("""COMPUTED_VALUE"""),"tinaibrahim511@gmail.com")</f>
        <v>tinaibrahim511@gmail.com</v>
      </c>
      <c r="C266" s="1">
        <f ca="1">IFERROR(__xludf.DUMMYFUNCTION("""COMPUTED_VALUE"""),201021806301)</f>
        <v>201021806301</v>
      </c>
      <c r="D266" s="1" t="str">
        <f ca="1">IFERROR(__xludf.DUMMYFUNCTION("""COMPUTED_VALUE"""),"Belquas")</f>
        <v>Belquas</v>
      </c>
      <c r="E266" s="12" t="str">
        <f ca="1">IFERROR(__xludf.DUMMYFUNCTION("""COMPUTED_VALUE"""),"https://www.facebook.com/share/1CSqfAL4q4/")</f>
        <v>https://www.facebook.com/share/1CSqfAL4q4/</v>
      </c>
      <c r="F266" s="1" t="str">
        <f ca="1">IFERROR(__xludf.DUMMYFUNCTION("""COMPUTED_VALUE"""),"لا يوجد ")</f>
        <v xml:space="preserve">لا يوجد </v>
      </c>
      <c r="G266" s="1"/>
      <c r="H266" s="12" t="str">
        <f ca="1">IFERROR(__xludf.DUMMYFUNCTION("""COMPUTED_VALUE"""),"https://www.linkedin.com/in/martina-ibrahim-1605bb305?utm_source=share&amp;utm_campaign=share_via&amp;utm_content=profile&amp;utm_medium=android_app")</f>
        <v>https://www.linkedin.com/in/martina-ibrahim-1605bb305?utm_source=share&amp;utm_campaign=share_via&amp;utm_content=profile&amp;utm_medium=android_app</v>
      </c>
      <c r="I266" s="12" t="str">
        <f ca="1">IFERROR(__xludf.DUMMYFUNCTION("""COMPUTED_VALUE"""),"https://github.com/Martina-511")</f>
        <v>https://github.com/Martina-511</v>
      </c>
      <c r="J266" s="1"/>
      <c r="K266" s="1" t="str">
        <f ca="1">IFERROR(__xludf.DUMMYFUNCTION("""COMPUTED_VALUE"""),"Mansoura University")</f>
        <v>Mansoura University</v>
      </c>
      <c r="L266" s="1"/>
      <c r="M266" s="1" t="str">
        <f ca="1">IFERROR(__xludf.DUMMYFUNCTION("""COMPUTED_VALUE"""),"Faculty of Computer &amp; Information Science")</f>
        <v>Faculty of Computer &amp; Information Science</v>
      </c>
      <c r="N266" s="1"/>
      <c r="O266" s="1" t="str">
        <f ca="1">IFERROR(__xludf.DUMMYFUNCTION("""COMPUTED_VALUE"""),"3rd Year")</f>
        <v>3rd Year</v>
      </c>
      <c r="R266" s="1" t="s">
        <v>38</v>
      </c>
    </row>
    <row r="267" spans="1:18">
      <c r="A267" s="1" t="str">
        <f ca="1">IFERROR(__xludf.DUMMYFUNCTION("""COMPUTED_VALUE"""),"Eslam Khaled ")</f>
        <v xml:space="preserve">Eslam Khaled </v>
      </c>
      <c r="B267" s="1" t="str">
        <f ca="1">IFERROR(__xludf.DUMMYFUNCTION("""COMPUTED_VALUE"""),"islamkhaledfouad1@gmail.com")</f>
        <v>islamkhaledfouad1@gmail.com</v>
      </c>
      <c r="C267" s="1">
        <f ca="1">IFERROR(__xludf.DUMMYFUNCTION("""COMPUTED_VALUE"""),201063057995)</f>
        <v>201063057995</v>
      </c>
      <c r="D267" s="1" t="str">
        <f ca="1">IFERROR(__xludf.DUMMYFUNCTION("""COMPUTED_VALUE"""),"Mansoura ")</f>
        <v xml:space="preserve">Mansoura </v>
      </c>
      <c r="E267" s="12" t="str">
        <f ca="1">IFERROR(__xludf.DUMMYFUNCTION("""COMPUTED_VALUE"""),"https://www.facebook.com/profile.php?id=100012576063259&amp;mibextid=ZbWKwL")</f>
        <v>https://www.facebook.com/profile.php?id=100012576063259&amp;mibextid=ZbWKwL</v>
      </c>
      <c r="F267" s="1">
        <f ca="1">IFERROR(__xludf.DUMMYFUNCTION("""COMPUTED_VALUE"""),526699)</f>
        <v>526699</v>
      </c>
      <c r="G267" s="12" t="str">
        <f ca="1">IFERROR(__xludf.DUMMYFUNCTION("""COMPUTED_VALUE"""),"https://x.com/eslamkhaled25?t=Qhe0UZ5vzQeuELjGZoCM7A&amp;s=09")</f>
        <v>https://x.com/eslamkhaled25?t=Qhe0UZ5vzQeuELjGZoCM7A&amp;s=09</v>
      </c>
      <c r="H267" s="1"/>
      <c r="I267" s="1"/>
      <c r="J267" s="1"/>
      <c r="K267" s="1" t="str">
        <f ca="1">IFERROR(__xludf.DUMMYFUNCTION("""COMPUTED_VALUE"""),"MET")</f>
        <v>MET</v>
      </c>
      <c r="L267" s="1"/>
      <c r="M267" s="1" t="str">
        <f ca="1">IFERROR(__xludf.DUMMYFUNCTION("""COMPUTED_VALUE"""),"Faculty of Computer &amp; Information Science")</f>
        <v>Faculty of Computer &amp; Information Science</v>
      </c>
      <c r="N267" s="1"/>
      <c r="O267" s="1" t="str">
        <f ca="1">IFERROR(__xludf.DUMMYFUNCTION("""COMPUTED_VALUE"""),"2nd Year")</f>
        <v>2nd Year</v>
      </c>
      <c r="R267" s="1" t="s">
        <v>401</v>
      </c>
    </row>
    <row r="268" spans="1:18">
      <c r="A268" s="1" t="str">
        <f ca="1">IFERROR(__xludf.DUMMYFUNCTION("""COMPUTED_VALUE"""),"Nora Elsharkawy ")</f>
        <v xml:space="preserve">Nora Elsharkawy </v>
      </c>
      <c r="B268" s="1" t="str">
        <f ca="1">IFERROR(__xludf.DUMMYFUNCTION("""COMPUTED_VALUE"""),"noraelsharkawy999@gmail.com")</f>
        <v>noraelsharkawy999@gmail.com</v>
      </c>
      <c r="C268" s="1">
        <f ca="1">IFERROR(__xludf.DUMMYFUNCTION("""COMPUTED_VALUE"""),201015642804)</f>
        <v>201015642804</v>
      </c>
      <c r="D268" s="1" t="str">
        <f ca="1">IFERROR(__xludf.DUMMYFUNCTION("""COMPUTED_VALUE"""),"Gamasa")</f>
        <v>Gamasa</v>
      </c>
      <c r="E268" s="12" t="str">
        <f ca="1">IFERROR(__xludf.DUMMYFUNCTION("""COMPUTED_VALUE"""),"https://www.facebook.com/share/N6YrmZRGVm5HMcEk/?mibextid=LQQJ4d")</f>
        <v>https://www.facebook.com/share/N6YrmZRGVm5HMcEk/?mibextid=LQQJ4d</v>
      </c>
      <c r="F268" s="1" t="str">
        <f ca="1">IFERROR(__xludf.DUMMYFUNCTION("""COMPUTED_VALUE"""),"Don’t have")</f>
        <v>Don’t have</v>
      </c>
      <c r="G268" s="1"/>
      <c r="H268" s="12" t="str">
        <f ca="1">IFERROR(__xludf.DUMMYFUNCTION("""COMPUTED_VALUE"""),"https://www.linkedin.com/in/nora-elsharkawy-3366b7328?utm_source=share&amp;utm_campaign=share_via&amp;utm_content=profile&amp;utm_medium=ios_app")</f>
        <v>https://www.linkedin.com/in/nora-elsharkawy-3366b7328?utm_source=share&amp;utm_campaign=share_via&amp;utm_content=profile&amp;utm_medium=ios_app</v>
      </c>
      <c r="I268" s="1"/>
      <c r="J268" s="1"/>
      <c r="K268" s="1" t="str">
        <f ca="1">IFERROR(__xludf.DUMMYFUNCTION("""COMPUTED_VALUE"""),"Mansoura University")</f>
        <v>Mansoura University</v>
      </c>
      <c r="L268" s="1"/>
      <c r="M268" s="1" t="str">
        <f ca="1">IFERROR(__xludf.DUMMYFUNCTION("""COMPUTED_VALUE"""),"Faculty of Computer &amp; Information Science")</f>
        <v>Faculty of Computer &amp; Information Science</v>
      </c>
      <c r="N268" s="1"/>
      <c r="O268" s="1" t="str">
        <f ca="1">IFERROR(__xludf.DUMMYFUNCTION("""COMPUTED_VALUE"""),"1st Year")</f>
        <v>1st Year</v>
      </c>
      <c r="R268" s="1" t="s">
        <v>402</v>
      </c>
    </row>
    <row r="269" spans="1:18">
      <c r="A269" s="1" t="str">
        <f ca="1">IFERROR(__xludf.DUMMYFUNCTION("""COMPUTED_VALUE"""),"shahd Alaa")</f>
        <v>shahd Alaa</v>
      </c>
      <c r="B269" s="1" t="str">
        <f ca="1">IFERROR(__xludf.DUMMYFUNCTION("""COMPUTED_VALUE"""),"sa1200295@gmail.com")</f>
        <v>sa1200295@gmail.com</v>
      </c>
      <c r="C269" s="1">
        <f ca="1">IFERROR(__xludf.DUMMYFUNCTION("""COMPUTED_VALUE"""),201023643015)</f>
        <v>201023643015</v>
      </c>
      <c r="D269" s="1" t="str">
        <f ca="1">IFERROR(__xludf.DUMMYFUNCTION("""COMPUTED_VALUE"""),"Egypt , Behera , Damanhour")</f>
        <v>Egypt , Behera , Damanhour</v>
      </c>
      <c r="E269" s="12" t="str">
        <f ca="1">IFERROR(__xludf.DUMMYFUNCTION("""COMPUTED_VALUE"""),"https://www.facebook.com/profile.php?id=100081159115284")</f>
        <v>https://www.facebook.com/profile.php?id=100081159115284</v>
      </c>
      <c r="F269" s="1" t="str">
        <f ca="1">IFERROR(__xludf.DUMMYFUNCTION("""COMPUTED_VALUE"""),"shahdalaa_52401")</f>
        <v>shahdalaa_52401</v>
      </c>
      <c r="G269" s="1"/>
      <c r="H269" s="12" t="str">
        <f ca="1">IFERROR(__xludf.DUMMYFUNCTION("""COMPUTED_VALUE"""),"www.linkedin.com/in/shahd-alaa-029ba62a4")</f>
        <v>www.linkedin.com/in/shahd-alaa-029ba62a4</v>
      </c>
      <c r="I269" s="12" t="str">
        <f ca="1">IFERROR(__xludf.DUMMYFUNCTION("""COMPUTED_VALUE"""),"https://github.com/Shahd-404")</f>
        <v>https://github.com/Shahd-404</v>
      </c>
      <c r="J269" s="1"/>
      <c r="K269" s="1" t="str">
        <f ca="1">IFERROR(__xludf.DUMMYFUNCTION("""COMPUTED_VALUE"""),"Delta University")</f>
        <v>Delta University</v>
      </c>
      <c r="L269" s="1"/>
      <c r="M269" s="1" t="str">
        <f ca="1">IFERROR(__xludf.DUMMYFUNCTION("""COMPUTED_VALUE"""),"Faculty of Engineering")</f>
        <v>Faculty of Engineering</v>
      </c>
      <c r="N269" s="1"/>
      <c r="O269" s="1" t="str">
        <f ca="1">IFERROR(__xludf.DUMMYFUNCTION("""COMPUTED_VALUE"""),"2nd Year")</f>
        <v>2nd Year</v>
      </c>
      <c r="R269" s="1" t="s">
        <v>403</v>
      </c>
    </row>
    <row r="270" spans="1:18">
      <c r="A270" s="1" t="str">
        <f ca="1">IFERROR(__xludf.DUMMYFUNCTION("""COMPUTED_VALUE"""),"khaled")</f>
        <v>khaled</v>
      </c>
      <c r="B270" s="1" t="str">
        <f ca="1">IFERROR(__xludf.DUMMYFUNCTION("""COMPUTED_VALUE"""),"khaledahmedmossad@gmail.com")</f>
        <v>khaledahmedmossad@gmail.com</v>
      </c>
      <c r="C270" s="1">
        <f ca="1">IFERROR(__xludf.DUMMYFUNCTION("""COMPUTED_VALUE"""),201025211804)</f>
        <v>201025211804</v>
      </c>
      <c r="D270" s="1" t="str">
        <f ca="1">IFERROR(__xludf.DUMMYFUNCTION("""COMPUTED_VALUE"""),"الاتوبيس الجديد بجوار مسجد السيده عائشه")</f>
        <v>الاتوبيس الجديد بجوار مسجد السيده عائشه</v>
      </c>
      <c r="E270" s="12" t="str">
        <f ca="1">IFERROR(__xludf.DUMMYFUNCTION("""COMPUTED_VALUE"""),"https://www.facebook.com/khaled.ahmedmossad.9")</f>
        <v>https://www.facebook.com/khaled.ahmedmossad.9</v>
      </c>
      <c r="F270" s="12" t="str">
        <f ca="1">IFERROR(__xludf.DUMMYFUNCTION("""COMPUTED_VALUE"""),"https://discord.gg/ZD9sVYvz")</f>
        <v>https://discord.gg/ZD9sVYvz</v>
      </c>
      <c r="G270" s="1"/>
      <c r="H270" s="12" t="str">
        <f ca="1">IFERROR(__xludf.DUMMYFUNCTION("""COMPUTED_VALUE"""),"https://www.linkedin.com/in/khaled-ahmed-mossad-42377533a")</f>
        <v>https://www.linkedin.com/in/khaled-ahmed-mossad-42377533a</v>
      </c>
      <c r="I270" s="12" t="str">
        <f ca="1">IFERROR(__xludf.DUMMYFUNCTION("""COMPUTED_VALUE"""),"https://github.com/khaledahmedmossad")</f>
        <v>https://github.com/khaledahmedmossad</v>
      </c>
      <c r="J270" s="12" t="str">
        <f ca="1">IFERROR(__xludf.DUMMYFUNCTION("""COMPUTED_VALUE"""),"https://www.behance.net/hire/projects")</f>
        <v>https://www.behance.net/hire/projects</v>
      </c>
      <c r="K270" s="1" t="str">
        <f ca="1">IFERROR(__xludf.DUMMYFUNCTION("""COMPUTED_VALUE"""),"Mansoura University")</f>
        <v>Mansoura University</v>
      </c>
      <c r="L270" s="1"/>
      <c r="M270" s="1" t="str">
        <f ca="1">IFERROR(__xludf.DUMMYFUNCTION("""COMPUTED_VALUE"""),"Faculty of Computer &amp; Information Science")</f>
        <v>Faculty of Computer &amp; Information Science</v>
      </c>
      <c r="N270" s="1"/>
      <c r="O270" s="1" t="str">
        <f ca="1">IFERROR(__xludf.DUMMYFUNCTION("""COMPUTED_VALUE"""),"1st Year")</f>
        <v>1st Year</v>
      </c>
      <c r="R270" s="1" t="s">
        <v>404</v>
      </c>
    </row>
    <row r="271" spans="1:18">
      <c r="A271" s="1" t="str">
        <f ca="1">IFERROR(__xludf.DUMMYFUNCTION("""COMPUTED_VALUE"""),"Sabri Waleed")</f>
        <v>Sabri Waleed</v>
      </c>
      <c r="B271" s="1" t="str">
        <f ca="1">IFERROR(__xludf.DUMMYFUNCTION("""COMPUTED_VALUE"""),"sabrywaleedsw@gmail.com")</f>
        <v>sabrywaleedsw@gmail.com</v>
      </c>
      <c r="C271" s="1">
        <f ca="1">IFERROR(__xludf.DUMMYFUNCTION("""COMPUTED_VALUE"""),201212526615)</f>
        <v>201212526615</v>
      </c>
      <c r="D271" s="1" t="str">
        <f ca="1">IFERROR(__xludf.DUMMYFUNCTION("""COMPUTED_VALUE"""),"Mansoura")</f>
        <v>Mansoura</v>
      </c>
      <c r="E271" s="12" t="str">
        <f ca="1">IFERROR(__xludf.DUMMYFUNCTION("""COMPUTED_VALUE"""),"https://www.facebook.com/share/17x2S7jE3y/?mibextid=LQQJ4d")</f>
        <v>https://www.facebook.com/share/17x2S7jE3y/?mibextid=LQQJ4d</v>
      </c>
      <c r="F271" s="1" t="str">
        <f ca="1">IFERROR(__xludf.DUMMYFUNCTION("""COMPUTED_VALUE"""),"sabrywaleed")</f>
        <v>sabrywaleed</v>
      </c>
      <c r="G271" s="1"/>
      <c r="H271" s="12" t="str">
        <f ca="1">IFERROR(__xludf.DUMMYFUNCTION("""COMPUTED_VALUE"""),"http://linkedin.com/in/sabri-waleed-b8659b2ba")</f>
        <v>http://linkedin.com/in/sabri-waleed-b8659b2ba</v>
      </c>
      <c r="I271" s="1"/>
      <c r="J271" s="1"/>
      <c r="K271" s="1" t="str">
        <f ca="1">IFERROR(__xludf.DUMMYFUNCTION("""COMPUTED_VALUE"""),"Mansoura University")</f>
        <v>Mansoura University</v>
      </c>
      <c r="L271" s="1"/>
      <c r="M271" s="1" t="str">
        <f ca="1">IFERROR(__xludf.DUMMYFUNCTION("""COMPUTED_VALUE"""),"Faculty of Computer &amp; Information Science")</f>
        <v>Faculty of Computer &amp; Information Science</v>
      </c>
      <c r="N271" s="1"/>
      <c r="O271" s="1" t="str">
        <f ca="1">IFERROR(__xludf.DUMMYFUNCTION("""COMPUTED_VALUE"""),"2nd Year")</f>
        <v>2nd Year</v>
      </c>
      <c r="R271" s="1" t="s">
        <v>405</v>
      </c>
    </row>
    <row r="272" spans="1:18">
      <c r="A272" s="1" t="str">
        <f ca="1">IFERROR(__xludf.DUMMYFUNCTION("""COMPUTED_VALUE"""),"reem abderaouf")</f>
        <v>reem abderaouf</v>
      </c>
      <c r="B272" s="1" t="str">
        <f ca="1">IFERROR(__xludf.DUMMYFUNCTION("""COMPUTED_VALUE"""),"reemalsaid86@gmail.com")</f>
        <v>reemalsaid86@gmail.com</v>
      </c>
      <c r="C272" s="1">
        <f ca="1">IFERROR(__xludf.DUMMYFUNCTION("""COMPUTED_VALUE"""),201018400965)</f>
        <v>201018400965</v>
      </c>
      <c r="D272" s="1" t="str">
        <f ca="1">IFERROR(__xludf.DUMMYFUNCTION("""COMPUTED_VALUE"""),"الغربية سمنود")</f>
        <v>الغربية سمنود</v>
      </c>
      <c r="E272" s="12" t="str">
        <f ca="1">IFERROR(__xludf.DUMMYFUNCTION("""COMPUTED_VALUE"""),"https://www.facebook.com/profile.php?id=100009627530633&amp;mibextid=JRoKGi")</f>
        <v>https://www.facebook.com/profile.php?id=100009627530633&amp;mibextid=JRoKGi</v>
      </c>
      <c r="F272" s="1" t="str">
        <f ca="1">IFERROR(__xludf.DUMMYFUNCTION("""COMPUTED_VALUE"""),"reem abdelraouf86")</f>
        <v>reem abdelraouf86</v>
      </c>
      <c r="G272" s="1"/>
      <c r="H272" s="12" t="str">
        <f ca="1">IFERROR(__xludf.DUMMYFUNCTION("""COMPUTED_VALUE"""),"https://www.linkedin.com/in/reemabdelraouf?lipi=urn%3Ali%3Apage%3Ad_flagship3_profile_view_base_contact_details%3BIPC2l%2FwkQXa60KXpQpa2Ug%3D%3D")</f>
        <v>https://www.linkedin.com/in/reemabdelraouf?lipi=urn%3Ali%3Apage%3Ad_flagship3_profile_view_base_contact_details%3BIPC2l%2FwkQXa60KXpQpa2Ug%3D%3D</v>
      </c>
      <c r="I272" s="1"/>
      <c r="J272" s="1"/>
      <c r="K272" s="1" t="str">
        <f ca="1">IFERROR(__xludf.DUMMYFUNCTION("""COMPUTED_VALUE"""),"Mansoura University")</f>
        <v>Mansoura University</v>
      </c>
      <c r="L272" s="1"/>
      <c r="M272" s="1" t="str">
        <f ca="1">IFERROR(__xludf.DUMMYFUNCTION("""COMPUTED_VALUE"""),"Faculty of Engineering")</f>
        <v>Faculty of Engineering</v>
      </c>
      <c r="N272" s="1"/>
      <c r="O272" s="1" t="str">
        <f ca="1">IFERROR(__xludf.DUMMYFUNCTION("""COMPUTED_VALUE"""),"2nd Year")</f>
        <v>2nd Year</v>
      </c>
      <c r="R272" s="1" t="s">
        <v>406</v>
      </c>
    </row>
    <row r="273" spans="1:18">
      <c r="A273" s="1" t="str">
        <f ca="1">IFERROR(__xludf.DUMMYFUNCTION("""COMPUTED_VALUE"""),"Mohamed Elkholy ")</f>
        <v xml:space="preserve">Mohamed Elkholy </v>
      </c>
      <c r="B273" s="1" t="str">
        <f ca="1">IFERROR(__xludf.DUMMYFUNCTION("""COMPUTED_VALUE"""),"Mohamedelkholi66@gmail.com")</f>
        <v>Mohamedelkholi66@gmail.com</v>
      </c>
      <c r="C273" s="1">
        <f ca="1">IFERROR(__xludf.DUMMYFUNCTION("""COMPUTED_VALUE"""),201006944232)</f>
        <v>201006944232</v>
      </c>
      <c r="D273" s="1" t="str">
        <f ca="1">IFERROR(__xludf.DUMMYFUNCTION("""COMPUTED_VALUE"""),"ديمشلت مركز دكرنس الدقهليه ")</f>
        <v xml:space="preserve">ديمشلت مركز دكرنس الدقهليه </v>
      </c>
      <c r="E273" s="12" t="str">
        <f ca="1">IFERROR(__xludf.DUMMYFUNCTION("""COMPUTED_VALUE"""),"https://www.facebook.com/mohamed.o.elkholy.35?mibextid=ZbWKwL")</f>
        <v>https://www.facebook.com/mohamed.o.elkholy.35?mibextid=ZbWKwL</v>
      </c>
      <c r="F273" s="1" t="str">
        <f ca="1">IFERROR(__xludf.DUMMYFUNCTION("""COMPUTED_VALUE"""),"mohamedelkholy1999")</f>
        <v>mohamedelkholy1999</v>
      </c>
      <c r="G273" s="1"/>
      <c r="H273" s="1"/>
      <c r="I273" s="1"/>
      <c r="J273" s="1"/>
      <c r="K273" s="1" t="str">
        <f ca="1">IFERROR(__xludf.DUMMYFUNCTION("""COMPUTED_VALUE"""),"Mansoura University")</f>
        <v>Mansoura University</v>
      </c>
      <c r="L273" s="1"/>
      <c r="M273" s="1" t="str">
        <f ca="1">IFERROR(__xludf.DUMMYFUNCTION("""COMPUTED_VALUE"""),"Faculty of Engineering")</f>
        <v>Faculty of Engineering</v>
      </c>
      <c r="N273" s="1"/>
      <c r="O273" s="1" t="str">
        <f ca="1">IFERROR(__xludf.DUMMYFUNCTION("""COMPUTED_VALUE"""),"Prep Year (Engineering students)")</f>
        <v>Prep Year (Engineering students)</v>
      </c>
      <c r="R273" s="1" t="s">
        <v>407</v>
      </c>
    </row>
    <row r="274" spans="1:18">
      <c r="A274" s="1" t="str">
        <f ca="1">IFERROR(__xludf.DUMMYFUNCTION("""COMPUTED_VALUE"""),"Yossef Yasser Elbrmbaly")</f>
        <v>Yossef Yasser Elbrmbaly</v>
      </c>
      <c r="B274" s="1" t="str">
        <f ca="1">IFERROR(__xludf.DUMMYFUNCTION("""COMPUTED_VALUE"""),"youssef.elbrmbaly@gmail.com")</f>
        <v>youssef.elbrmbaly@gmail.com</v>
      </c>
      <c r="C274" s="1">
        <f ca="1">IFERROR(__xludf.DUMMYFUNCTION("""COMPUTED_VALUE"""),201090061293)</f>
        <v>201090061293</v>
      </c>
      <c r="D274" s="1" t="str">
        <f ca="1">IFERROR(__xludf.DUMMYFUNCTION("""COMPUTED_VALUE"""),"Mansoura")</f>
        <v>Mansoura</v>
      </c>
      <c r="E274" s="12" t="str">
        <f ca="1">IFERROR(__xludf.DUMMYFUNCTION("""COMPUTED_VALUE"""),"https://www.facebook.com/profile.php?id=100024575921181")</f>
        <v>https://www.facebook.com/profile.php?id=100024575921181</v>
      </c>
      <c r="F274" s="1" t="str">
        <f ca="1">IFERROR(__xludf.DUMMYFUNCTION("""COMPUTED_VALUE"""),"bremboo.")</f>
        <v>bremboo.</v>
      </c>
      <c r="G274" s="12" t="str">
        <f ca="1">IFERROR(__xludf.DUMMYFUNCTION("""COMPUTED_VALUE"""),"https://x.com/YElbrmbaly10204")</f>
        <v>https://x.com/YElbrmbaly10204</v>
      </c>
      <c r="H274" s="12" t="str">
        <f ca="1">IFERROR(__xludf.DUMMYFUNCTION("""COMPUTED_VALUE"""),"https://www.linkedin.com/in/yossif-elbrmbaly/")</f>
        <v>https://www.linkedin.com/in/yossif-elbrmbaly/</v>
      </c>
      <c r="I274" s="12" t="str">
        <f ca="1">IFERROR(__xludf.DUMMYFUNCTION("""COMPUTED_VALUE"""),"https://github.com/Yossef-Elbrmbaly")</f>
        <v>https://github.com/Yossef-Elbrmbaly</v>
      </c>
      <c r="J274" s="12" t="str">
        <f ca="1">IFERROR(__xludf.DUMMYFUNCTION("""COMPUTED_VALUE"""),"https://www.behance.net/yossifelbrmbaly")</f>
        <v>https://www.behance.net/yossifelbrmbaly</v>
      </c>
      <c r="K274" s="1" t="str">
        <f ca="1">IFERROR(__xludf.DUMMYFUNCTION("""COMPUTED_VALUE"""),"Mansoura University")</f>
        <v>Mansoura University</v>
      </c>
      <c r="L274" s="1"/>
      <c r="M274" s="1" t="str">
        <f ca="1">IFERROR(__xludf.DUMMYFUNCTION("""COMPUTED_VALUE"""),"Faculty of Computer &amp; Information Science")</f>
        <v>Faculty of Computer &amp; Information Science</v>
      </c>
      <c r="N274" s="1"/>
      <c r="O274" s="1" t="str">
        <f ca="1">IFERROR(__xludf.DUMMYFUNCTION("""COMPUTED_VALUE"""),"2nd Year")</f>
        <v>2nd Year</v>
      </c>
      <c r="R274" s="1" t="s">
        <v>408</v>
      </c>
    </row>
    <row r="275" spans="1:18">
      <c r="A275" s="1" t="str">
        <f ca="1">IFERROR(__xludf.DUMMYFUNCTION("""COMPUTED_VALUE"""),"Hanaa Mohammed")</f>
        <v>Hanaa Mohammed</v>
      </c>
      <c r="B275" s="1" t="str">
        <f ca="1">IFERROR(__xludf.DUMMYFUNCTION("""COMPUTED_VALUE"""),"hanaaabdulkader18@gmail.com")</f>
        <v>hanaaabdulkader18@gmail.com</v>
      </c>
      <c r="C275" s="1">
        <f ca="1">IFERROR(__xludf.DUMMYFUNCTION("""COMPUTED_VALUE"""),201015983500)</f>
        <v>201015983500</v>
      </c>
      <c r="D275" s="1" t="str">
        <f ca="1">IFERROR(__xludf.DUMMYFUNCTION("""COMPUTED_VALUE"""),"Belqas")</f>
        <v>Belqas</v>
      </c>
      <c r="E275" s="12" t="str">
        <f ca="1">IFERROR(__xludf.DUMMYFUNCTION("""COMPUTED_VALUE"""),"https://www.facebook.com/share/15ddZNDgEL/?mibextid=LQQJ4d")</f>
        <v>https://www.facebook.com/share/15ddZNDgEL/?mibextid=LQQJ4d</v>
      </c>
      <c r="F275" s="1" t="str">
        <f ca="1">IFERROR(__xludf.DUMMYFUNCTION("""COMPUTED_VALUE"""),"hanaa07381")</f>
        <v>hanaa07381</v>
      </c>
      <c r="G275" s="1"/>
      <c r="H275" s="1"/>
      <c r="I275" s="1"/>
      <c r="J275" s="1"/>
      <c r="K275" s="1" t="str">
        <f ca="1">IFERROR(__xludf.DUMMYFUNCTION("""COMPUTED_VALUE"""),"Mansoura University")</f>
        <v>Mansoura University</v>
      </c>
      <c r="L275" s="1"/>
      <c r="M275" s="1" t="str">
        <f ca="1">IFERROR(__xludf.DUMMYFUNCTION("""COMPUTED_VALUE"""),"Faculty of Engineering")</f>
        <v>Faculty of Engineering</v>
      </c>
      <c r="N275" s="1"/>
      <c r="O275" s="1" t="str">
        <f ca="1">IFERROR(__xludf.DUMMYFUNCTION("""COMPUTED_VALUE"""),"3rd Year")</f>
        <v>3rd Year</v>
      </c>
      <c r="R275" s="1" t="s">
        <v>409</v>
      </c>
    </row>
    <row r="276" spans="1:18">
      <c r="A276" s="1" t="str">
        <f ca="1">IFERROR(__xludf.DUMMYFUNCTION("""COMPUTED_VALUE"""),"Hager Ahmed Abdelaziz ")</f>
        <v xml:space="preserve">Hager Ahmed Abdelaziz </v>
      </c>
      <c r="B276" s="1" t="str">
        <f ca="1">IFERROR(__xludf.DUMMYFUNCTION("""COMPUTED_VALUE"""),"hgrahmd288@gmail.com")</f>
        <v>hgrahmd288@gmail.com</v>
      </c>
      <c r="C276" s="1">
        <f ca="1">IFERROR(__xludf.DUMMYFUNCTION("""COMPUTED_VALUE"""),201061695364)</f>
        <v>201061695364</v>
      </c>
      <c r="D276" s="1" t="str">
        <f ca="1">IFERROR(__xludf.DUMMYFUNCTION("""COMPUTED_VALUE"""),"Mansoura")</f>
        <v>Mansoura</v>
      </c>
      <c r="E276" s="12" t="str">
        <f ca="1">IFERROR(__xludf.DUMMYFUNCTION("""COMPUTED_VALUE"""),"https://www.facebook.com/share/ahUhCYXr2KaBcvZ2/?mibextid=LQQJ4d")</f>
        <v>https://www.facebook.com/share/ahUhCYXr2KaBcvZ2/?mibextid=LQQJ4d</v>
      </c>
      <c r="F276" s="1" t="str">
        <f ca="1">IFERROR(__xludf.DUMMYFUNCTION("""COMPUTED_VALUE"""),"I don't have one")</f>
        <v>I don't have one</v>
      </c>
      <c r="G276" s="1"/>
      <c r="H276" s="12" t="str">
        <f ca="1">IFERROR(__xludf.DUMMYFUNCTION("""COMPUTED_VALUE"""),"www.linkedin.com/in/hagar-ahmad-31816628a")</f>
        <v>www.linkedin.com/in/hagar-ahmad-31816628a</v>
      </c>
      <c r="I276" s="12" t="str">
        <f ca="1">IFERROR(__xludf.DUMMYFUNCTION("""COMPUTED_VALUE"""),"https://github.com/3nter-hgr")</f>
        <v>https://github.com/3nter-hgr</v>
      </c>
      <c r="J276" s="1"/>
      <c r="K276" s="1" t="str">
        <f ca="1">IFERROR(__xludf.DUMMYFUNCTION("""COMPUTED_VALUE"""),"Mansoura University")</f>
        <v>Mansoura University</v>
      </c>
      <c r="L276" s="1"/>
      <c r="M276" s="1" t="str">
        <f ca="1">IFERROR(__xludf.DUMMYFUNCTION("""COMPUTED_VALUE"""),"Faculty of Computer &amp; Information Science")</f>
        <v>Faculty of Computer &amp; Information Science</v>
      </c>
      <c r="N276" s="1"/>
      <c r="O276" s="1" t="str">
        <f ca="1">IFERROR(__xludf.DUMMYFUNCTION("""COMPUTED_VALUE"""),"3rd Year")</f>
        <v>3rd Year</v>
      </c>
      <c r="R276" s="1" t="s">
        <v>410</v>
      </c>
    </row>
    <row r="277" spans="1:18">
      <c r="A277" s="1" t="str">
        <f ca="1">IFERROR(__xludf.DUMMYFUNCTION("""COMPUTED_VALUE"""),"Mariam Saber")</f>
        <v>Mariam Saber</v>
      </c>
      <c r="B277" s="1" t="str">
        <f ca="1">IFERROR(__xludf.DUMMYFUNCTION("""COMPUTED_VALUE"""),"mariamsaber5726@gmail.com")</f>
        <v>mariamsaber5726@gmail.com</v>
      </c>
      <c r="C277" s="1">
        <f ca="1">IFERROR(__xludf.DUMMYFUNCTION("""COMPUTED_VALUE"""),201206427520)</f>
        <v>201206427520</v>
      </c>
      <c r="D277" s="1" t="str">
        <f ca="1">IFERROR(__xludf.DUMMYFUNCTION("""COMPUTED_VALUE"""),"Telima.samanoud.elgharbia")</f>
        <v>Telima.samanoud.elgharbia</v>
      </c>
      <c r="E277" s="12" t="str">
        <f ca="1">IFERROR(__xludf.DUMMYFUNCTION("""COMPUTED_VALUE"""),"https://www.facebook.com/profile.php?id=61563041369275&amp;mibextid=ZbWKwL")</f>
        <v>https://www.facebook.com/profile.php?id=61563041369275&amp;mibextid=ZbWKwL</v>
      </c>
      <c r="F277" s="12" t="str">
        <f ca="1">IFERROR(__xludf.DUMMYFUNCTION("""COMPUTED_VALUE"""),"https://discord.gg/JyX3wYvs")</f>
        <v>https://discord.gg/JyX3wYvs</v>
      </c>
      <c r="G277" s="12" t="str">
        <f ca="1">IFERROR(__xludf.DUMMYFUNCTION("""COMPUTED_VALUE"""),"https://x.com/mariamsabe57?t=Dcs_zyTiXXZWy4gnSzX22A&amp;s=09")</f>
        <v>https://x.com/mariamsabe57?t=Dcs_zyTiXXZWy4gnSzX22A&amp;s=09</v>
      </c>
      <c r="H277" s="1"/>
      <c r="I277" s="1"/>
      <c r="J277" s="1"/>
      <c r="K277" s="1" t="str">
        <f ca="1">IFERROR(__xludf.DUMMYFUNCTION("""COMPUTED_VALUE"""),"Mansoura University")</f>
        <v>Mansoura University</v>
      </c>
      <c r="L277" s="1"/>
      <c r="M277" s="1" t="str">
        <f ca="1">IFERROR(__xludf.DUMMYFUNCTION("""COMPUTED_VALUE"""),"Faculty of Engineering")</f>
        <v>Faculty of Engineering</v>
      </c>
      <c r="N277" s="1"/>
      <c r="O277" s="1" t="str">
        <f ca="1">IFERROR(__xludf.DUMMYFUNCTION("""COMPUTED_VALUE"""),"1st Year")</f>
        <v>1st Year</v>
      </c>
      <c r="R277" s="1" t="s">
        <v>411</v>
      </c>
    </row>
    <row r="278" spans="1:18">
      <c r="A278" s="1" t="str">
        <f ca="1">IFERROR(__xludf.DUMMYFUNCTION("""COMPUTED_VALUE"""),"Yusif Elsaharty ")</f>
        <v xml:space="preserve">Yusif Elsaharty </v>
      </c>
      <c r="B278" s="1" t="str">
        <f ca="1">IFERROR(__xludf.DUMMYFUNCTION("""COMPUTED_VALUE"""),"yelsaharty@gmail.com")</f>
        <v>yelsaharty@gmail.com</v>
      </c>
      <c r="C278" s="1">
        <f ca="1">IFERROR(__xludf.DUMMYFUNCTION("""COMPUTED_VALUE"""),201021310215)</f>
        <v>201021310215</v>
      </c>
      <c r="D278" s="1" t="str">
        <f ca="1">IFERROR(__xludf.DUMMYFUNCTION("""COMPUTED_VALUE"""),"Egypt ElDakahlia ")</f>
        <v xml:space="preserve">Egypt ElDakahlia </v>
      </c>
      <c r="E278" s="12" t="str">
        <f ca="1">IFERROR(__xludf.DUMMYFUNCTION("""COMPUTED_VALUE"""),"https://www.facebook.com/profile.php?id=100080219746127&amp;mibextid=ZbWKwL")</f>
        <v>https://www.facebook.com/profile.php?id=100080219746127&amp;mibextid=ZbWKwL</v>
      </c>
      <c r="F278" s="1" t="str">
        <f ca="1">IFERROR(__xludf.DUMMYFUNCTION("""COMPUTED_VALUE"""),"yusifelsaharty")</f>
        <v>yusifelsaharty</v>
      </c>
      <c r="G278" s="1"/>
      <c r="H278" s="12" t="str">
        <f ca="1">IFERROR(__xludf.DUMMYFUNCTION("""COMPUTED_VALUE"""),"https://www.linkedin.com/in/yousef-elsaharty-08489b2b0?utm_source=share&amp;utm_campaign=share_via&amp;utm_content=profile&amp;utm_medium=android_app")</f>
        <v>https://www.linkedin.com/in/yousef-elsaharty-08489b2b0?utm_source=share&amp;utm_campaign=share_via&amp;utm_content=profile&amp;utm_medium=android_app</v>
      </c>
      <c r="I278" s="12" t="str">
        <f ca="1">IFERROR(__xludf.DUMMYFUNCTION("""COMPUTED_VALUE"""),"https://github.com/YusifElsaharty")</f>
        <v>https://github.com/YusifElsaharty</v>
      </c>
      <c r="J278" s="1"/>
      <c r="K278" s="1" t="str">
        <f ca="1">IFERROR(__xludf.DUMMYFUNCTION("""COMPUTED_VALUE"""),"Mansoura University")</f>
        <v>Mansoura University</v>
      </c>
      <c r="L278" s="1"/>
      <c r="M278" s="1" t="str">
        <f ca="1">IFERROR(__xludf.DUMMYFUNCTION("""COMPUTED_VALUE"""),"Faculty of Computer &amp; Information Science")</f>
        <v>Faculty of Computer &amp; Information Science</v>
      </c>
      <c r="N278" s="1"/>
      <c r="O278" s="1" t="str">
        <f ca="1">IFERROR(__xludf.DUMMYFUNCTION("""COMPUTED_VALUE"""),"2nd Year")</f>
        <v>2nd Year</v>
      </c>
      <c r="R278" s="1" t="s">
        <v>40</v>
      </c>
    </row>
    <row r="279" spans="1:18">
      <c r="A279" s="1" t="str">
        <f ca="1">IFERROR(__xludf.DUMMYFUNCTION("""COMPUTED_VALUE"""),"Ahmed abdalla zahran")</f>
        <v>Ahmed abdalla zahran</v>
      </c>
      <c r="B279" s="1" t="str">
        <f ca="1">IFERROR(__xludf.DUMMYFUNCTION("""COMPUTED_VALUE"""),"medozahran02@gmail.com")</f>
        <v>medozahran02@gmail.com</v>
      </c>
      <c r="C279" s="1">
        <f ca="1">IFERROR(__xludf.DUMMYFUNCTION("""COMPUTED_VALUE"""),201068331871)</f>
        <v>201068331871</v>
      </c>
      <c r="D279" s="1" t="str">
        <f ca="1">IFERROR(__xludf.DUMMYFUNCTION("""COMPUTED_VALUE"""),"Samanoud gharbeia")</f>
        <v>Samanoud gharbeia</v>
      </c>
      <c r="E279" s="12" t="str">
        <f ca="1">IFERROR(__xludf.DUMMYFUNCTION("""COMPUTED_VALUE"""),"https://m.facebook.com/profile.php?id=100013105998071")</f>
        <v>https://m.facebook.com/profile.php?id=100013105998071</v>
      </c>
      <c r="F279" s="1" t="str">
        <f ca="1">IFERROR(__xludf.DUMMYFUNCTION("""COMPUTED_VALUE"""),"ahmed_zahran")</f>
        <v>ahmed_zahran</v>
      </c>
      <c r="G279" s="1"/>
      <c r="H279" s="12" t="str">
        <f ca="1">IFERROR(__xludf.DUMMYFUNCTION("""COMPUTED_VALUE"""),"https://www.linkedin.com/in/ahmed-zahran-973825224?utm_source=share&amp;utm_campaign=share_via&amp;utm_content=profile&amp;utm_medium=android_app")</f>
        <v>https://www.linkedin.com/in/ahmed-zahran-973825224?utm_source=share&amp;utm_campaign=share_via&amp;utm_content=profile&amp;utm_medium=android_app</v>
      </c>
      <c r="I279" s="1"/>
      <c r="J279" s="1"/>
      <c r="K279" s="1" t="str">
        <f ca="1">IFERROR(__xludf.DUMMYFUNCTION("""COMPUTED_VALUE"""),"Mansoura University")</f>
        <v>Mansoura University</v>
      </c>
      <c r="L279" s="1"/>
      <c r="M279" s="1" t="str">
        <f ca="1">IFERROR(__xludf.DUMMYFUNCTION("""COMPUTED_VALUE"""),"Faculty of Engineering")</f>
        <v>Faculty of Engineering</v>
      </c>
      <c r="N279" s="1"/>
      <c r="O279" s="1" t="str">
        <f ca="1">IFERROR(__xludf.DUMMYFUNCTION("""COMPUTED_VALUE"""),"3rd Year")</f>
        <v>3rd Year</v>
      </c>
      <c r="R279" s="1" t="s">
        <v>412</v>
      </c>
    </row>
    <row r="280" spans="1:18">
      <c r="A280" s="1" t="str">
        <f ca="1">IFERROR(__xludf.DUMMYFUNCTION("""COMPUTED_VALUE"""),"Zeinab Ebrahim Yahia Mohamed ")</f>
        <v xml:space="preserve">Zeinab Ebrahim Yahia Mohamed </v>
      </c>
      <c r="B280" s="1" t="str">
        <f ca="1">IFERROR(__xludf.DUMMYFUNCTION("""COMPUTED_VALUE"""),"zebrahim519@gmail.com")</f>
        <v>zebrahim519@gmail.com</v>
      </c>
      <c r="C280" s="1">
        <f ca="1">IFERROR(__xludf.DUMMYFUNCTION("""COMPUTED_VALUE"""),201552161404)</f>
        <v>201552161404</v>
      </c>
      <c r="D280" s="1" t="str">
        <f ca="1">IFERROR(__xludf.DUMMYFUNCTION("""COMPUTED_VALUE"""),"Dekerness")</f>
        <v>Dekerness</v>
      </c>
      <c r="E280" s="12" t="str">
        <f ca="1">IFERROR(__xludf.DUMMYFUNCTION("""COMPUTED_VALUE"""),"https://www.facebook.com/zuba.4.2?mibextid=ZbWKwL")</f>
        <v>https://www.facebook.com/zuba.4.2?mibextid=ZbWKwL</v>
      </c>
      <c r="F280" s="12" t="str">
        <f ca="1">IFERROR(__xludf.DUMMYFUNCTION("""COMPUTED_VALUE"""),"https://discord.gg/RyjNq2T6")</f>
        <v>https://discord.gg/RyjNq2T6</v>
      </c>
      <c r="G280" s="1"/>
      <c r="H280" s="12" t="str">
        <f ca="1">IFERROR(__xludf.DUMMYFUNCTION("""COMPUTED_VALUE"""),"https://www.linkedin.com/in/zeinabebrahim?utm_source=share&amp;utm_campaign=share_via&amp;utm_content=profile&amp;utm_medium=android_app")</f>
        <v>https://www.linkedin.com/in/zeinabebrahim?utm_source=share&amp;utm_campaign=share_via&amp;utm_content=profile&amp;utm_medium=android_app</v>
      </c>
      <c r="I280" s="1"/>
      <c r="J280" s="1"/>
      <c r="K280" s="1" t="str">
        <f ca="1">IFERROR(__xludf.DUMMYFUNCTION("""COMPUTED_VALUE"""),"MET")</f>
        <v>MET</v>
      </c>
      <c r="L280" s="1"/>
      <c r="M280" s="1" t="str">
        <f ca="1">IFERROR(__xludf.DUMMYFUNCTION("""COMPUTED_VALUE"""),"Faculty of Computer &amp; Information Science")</f>
        <v>Faculty of Computer &amp; Information Science</v>
      </c>
      <c r="N280" s="1"/>
      <c r="O280" s="1" t="str">
        <f ca="1">IFERROR(__xludf.DUMMYFUNCTION("""COMPUTED_VALUE"""),"3rd Year")</f>
        <v>3rd Year</v>
      </c>
      <c r="R280" s="1" t="s">
        <v>413</v>
      </c>
    </row>
    <row r="281" spans="1:18">
      <c r="A281" s="1" t="str">
        <f ca="1">IFERROR(__xludf.DUMMYFUNCTION("""COMPUTED_VALUE"""),"Youssef El khawas")</f>
        <v>Youssef El khawas</v>
      </c>
      <c r="B281" s="1" t="str">
        <f ca="1">IFERROR(__xludf.DUMMYFUNCTION("""COMPUTED_VALUE"""),"youssefelkhawas22@gmail.com")</f>
        <v>youssefelkhawas22@gmail.com</v>
      </c>
      <c r="C281" s="1">
        <f ca="1">IFERROR(__xludf.DUMMYFUNCTION("""COMPUTED_VALUE"""),201127643622)</f>
        <v>201127643622</v>
      </c>
      <c r="D281" s="1" t="str">
        <f ca="1">IFERROR(__xludf.DUMMYFUNCTION("""COMPUTED_VALUE"""),"Mit-ghamr, Mansoura, Dakahliya")</f>
        <v>Mit-ghamr, Mansoura, Dakahliya</v>
      </c>
      <c r="E281" s="12" t="str">
        <f ca="1">IFERROR(__xludf.DUMMYFUNCTION("""COMPUTED_VALUE"""),"https://www.facebook.com/profile.php?id=100015385117279")</f>
        <v>https://www.facebook.com/profile.php?id=100015385117279</v>
      </c>
      <c r="F281" s="1" t="str">
        <f ca="1">IFERROR(__xludf.DUMMYFUNCTION("""COMPUTED_VALUE"""),"youssef_elkhwas")</f>
        <v>youssef_elkhwas</v>
      </c>
      <c r="G281" s="1"/>
      <c r="H281" s="1"/>
      <c r="I281" s="1"/>
      <c r="J281" s="1"/>
      <c r="K281" s="1" t="str">
        <f ca="1">IFERROR(__xludf.DUMMYFUNCTION("""COMPUTED_VALUE"""),"Mansoura University")</f>
        <v>Mansoura University</v>
      </c>
      <c r="L281" s="1"/>
      <c r="M281" s="1" t="str">
        <f ca="1">IFERROR(__xludf.DUMMYFUNCTION("""COMPUTED_VALUE"""),"Faculty of Computer &amp; Information Science")</f>
        <v>Faculty of Computer &amp; Information Science</v>
      </c>
      <c r="N281" s="1"/>
      <c r="O281" s="1" t="str">
        <f ca="1">IFERROR(__xludf.DUMMYFUNCTION("""COMPUTED_VALUE"""),"2nd Year")</f>
        <v>2nd Year</v>
      </c>
      <c r="R281" s="1" t="s">
        <v>414</v>
      </c>
    </row>
    <row r="282" spans="1:18">
      <c r="A282" s="1" t="str">
        <f ca="1">IFERROR(__xludf.DUMMYFUNCTION("""COMPUTED_VALUE"""),"Mennaelmohamdy ")</f>
        <v xml:space="preserve">Mennaelmohamdy </v>
      </c>
      <c r="B282" s="1" t="str">
        <f ca="1">IFERROR(__xludf.DUMMYFUNCTION("""COMPUTED_VALUE"""),"mennaelmohamdy81@gmail.com")</f>
        <v>mennaelmohamdy81@gmail.com</v>
      </c>
      <c r="C282" s="1">
        <f ca="1">IFERROR(__xludf.DUMMYFUNCTION("""COMPUTED_VALUE"""),201028980447)</f>
        <v>201028980447</v>
      </c>
      <c r="D282" s="1" t="str">
        <f ca="1">IFERROR(__xludf.DUMMYFUNCTION("""COMPUTED_VALUE"""),"الدقهلية منية النصر الكردي ")</f>
        <v xml:space="preserve">الدقهلية منية النصر الكردي </v>
      </c>
      <c r="E282" s="12" t="str">
        <f ca="1">IFERROR(__xludf.DUMMYFUNCTION("""COMPUTED_VALUE"""),"https://www.facebook.com/profile.php?id=100091425038819&amp;mibextid=ZbWKwL")</f>
        <v>https://www.facebook.com/profile.php?id=100091425038819&amp;mibextid=ZbWKwL</v>
      </c>
      <c r="F282" s="12" t="str">
        <f ca="1">IFERROR(__xludf.DUMMYFUNCTION("""COMPUTED_VALUE"""),"https://discord.gg/Xhk23mEB")</f>
        <v>https://discord.gg/Xhk23mEB</v>
      </c>
      <c r="G282" s="12" t="str">
        <f ca="1">IFERROR(__xludf.DUMMYFUNCTION("""COMPUTED_VALUE"""),"https://x.com/MennaElmoh88127?t=yn5mmJnQSZH3i3PUDM_l1Q&amp;s=08")</f>
        <v>https://x.com/MennaElmoh88127?t=yn5mmJnQSZH3i3PUDM_l1Q&amp;s=08</v>
      </c>
      <c r="H282" s="12" t="str">
        <f ca="1">IFERROR(__xludf.DUMMYFUNCTION("""COMPUTED_VALUE"""),"https://www.linkedin.com/in/menna-elmohamady-6185b833a?utm_source=share&amp;utm_campaign=share_via&amp;utm_content=profile&amp;utm_medium=android_app")</f>
        <v>https://www.linkedin.com/in/menna-elmohamady-6185b833a?utm_source=share&amp;utm_campaign=share_via&amp;utm_content=profile&amp;utm_medium=android_app</v>
      </c>
      <c r="I282" s="12" t="str">
        <f ca="1">IFERROR(__xludf.DUMMYFUNCTION("""COMPUTED_VALUE"""),"https://github.com/Mennaelmohamdy3")</f>
        <v>https://github.com/Mennaelmohamdy3</v>
      </c>
      <c r="J282" s="12" t="str">
        <f ca="1">IFERROR(__xludf.DUMMYFUNCTION("""COMPUTED_VALUE"""),"https://www.behance.net/zeinabmostafa9")</f>
        <v>https://www.behance.net/zeinabmostafa9</v>
      </c>
      <c r="K282" s="1" t="str">
        <f ca="1">IFERROR(__xludf.DUMMYFUNCTION("""COMPUTED_VALUE"""),"Mansoura University")</f>
        <v>Mansoura University</v>
      </c>
      <c r="L282" s="1"/>
      <c r="M282" s="1" t="str">
        <f ca="1">IFERROR(__xludf.DUMMYFUNCTION("""COMPUTED_VALUE"""),"Faculty of Engineering")</f>
        <v>Faculty of Engineering</v>
      </c>
      <c r="N282" s="1"/>
      <c r="O282" s="1" t="str">
        <f ca="1">IFERROR(__xludf.DUMMYFUNCTION("""COMPUTED_VALUE"""),"Prep Year (Engineering students)")</f>
        <v>Prep Year (Engineering students)</v>
      </c>
      <c r="R282" s="1" t="s">
        <v>415</v>
      </c>
    </row>
    <row r="283" spans="1:18">
      <c r="A283" s="1" t="str">
        <f ca="1">IFERROR(__xludf.DUMMYFUNCTION("""COMPUTED_VALUE"""),"Youssef Samir Mahmoud  Ghoneim")</f>
        <v>Youssef Samir Mahmoud  Ghoneim</v>
      </c>
      <c r="B283" s="1" t="str">
        <f ca="1">IFERROR(__xludf.DUMMYFUNCTION("""COMPUTED_VALUE"""),"youssefsamir12468@gmail.com")</f>
        <v>youssefsamir12468@gmail.com</v>
      </c>
      <c r="C283" s="1">
        <f ca="1">IFERROR(__xludf.DUMMYFUNCTION("""COMPUTED_VALUE"""),201558132185)</f>
        <v>201558132185</v>
      </c>
      <c r="D283" s="1" t="str">
        <f ca="1">IFERROR(__xludf.DUMMYFUNCTION("""COMPUTED_VALUE"""),"Mansoura")</f>
        <v>Mansoura</v>
      </c>
      <c r="E283" s="12" t="str">
        <f ca="1">IFERROR(__xludf.DUMMYFUNCTION("""COMPUTED_VALUE"""),"https://www.facebook.com/profile.php?id=61551217244817&amp;mibextid=ZbWKwL")</f>
        <v>https://www.facebook.com/profile.php?id=61551217244817&amp;mibextid=ZbWKwL</v>
      </c>
      <c r="F283" s="12" t="str">
        <f ca="1">IFERROR(__xludf.DUMMYFUNCTION("""COMPUTED_VALUE"""),"https://www.behance.net/d2cc3a53")</f>
        <v>https://www.behance.net/d2cc3a53</v>
      </c>
      <c r="G283" s="1"/>
      <c r="H283" s="1"/>
      <c r="I283" s="1"/>
      <c r="J283" s="12" t="str">
        <f ca="1">IFERROR(__xludf.DUMMYFUNCTION("""COMPUTED_VALUE"""),"https://www.behance.net/d2cc3a53")</f>
        <v>https://www.behance.net/d2cc3a53</v>
      </c>
      <c r="K283" s="1" t="str">
        <f ca="1">IFERROR(__xludf.DUMMYFUNCTION("""COMPUTED_VALUE"""),"Mansoura University")</f>
        <v>Mansoura University</v>
      </c>
      <c r="L283" s="1"/>
      <c r="M283" s="1" t="str">
        <f ca="1">IFERROR(__xludf.DUMMYFUNCTION("""COMPUTED_VALUE"""),"Faculty of Computer &amp; Information Science")</f>
        <v>Faculty of Computer &amp; Information Science</v>
      </c>
      <c r="N283" s="1"/>
      <c r="O283" s="1" t="str">
        <f ca="1">IFERROR(__xludf.DUMMYFUNCTION("""COMPUTED_VALUE"""),"2nd Year")</f>
        <v>2nd Year</v>
      </c>
      <c r="R283" s="1" t="s">
        <v>416</v>
      </c>
    </row>
    <row r="284" spans="1:18">
      <c r="A284" s="1" t="str">
        <f ca="1">IFERROR(__xludf.DUMMYFUNCTION("""COMPUTED_VALUE"""),"Shada Basyoni ")</f>
        <v xml:space="preserve">Shada Basyoni </v>
      </c>
      <c r="B284" s="1" t="str">
        <f ca="1">IFERROR(__xludf.DUMMYFUNCTION("""COMPUTED_VALUE"""),"elbasyoni123456@gmail.com")</f>
        <v>elbasyoni123456@gmail.com</v>
      </c>
      <c r="C284" s="1">
        <f ca="1">IFERROR(__xludf.DUMMYFUNCTION("""COMPUTED_VALUE"""),201274031933)</f>
        <v>201274031933</v>
      </c>
      <c r="D284" s="1" t="str">
        <f ca="1">IFERROR(__xludf.DUMMYFUNCTION("""COMPUTED_VALUE"""),"Mitghamer-Mansoura")</f>
        <v>Mitghamer-Mansoura</v>
      </c>
      <c r="E284" s="12" t="str">
        <f ca="1">IFERROR(__xludf.DUMMYFUNCTION("""COMPUTED_VALUE"""),"https://www.facebook.com/profile.php?id=61568234062318&amp;mibextid=ZbWKwL")</f>
        <v>https://www.facebook.com/profile.php?id=61568234062318&amp;mibextid=ZbWKwL</v>
      </c>
      <c r="F284" s="1" t="str">
        <f ca="1">IFERROR(__xludf.DUMMYFUNCTION("""COMPUTED_VALUE"""),"Shada Basyoni")</f>
        <v>Shada Basyoni</v>
      </c>
      <c r="G284" s="12" t="str">
        <f ca="1">IFERROR(__xludf.DUMMYFUNCTION("""COMPUTED_VALUE"""),"https://x.com/shada_basyonii")</f>
        <v>https://x.com/shada_basyonii</v>
      </c>
      <c r="H284" s="12" t="str">
        <f ca="1">IFERROR(__xludf.DUMMYFUNCTION("""COMPUTED_VALUE"""),"https://www.linkedin.com/in/shada-basyoni-27680a315?trk=contact-info")</f>
        <v>https://www.linkedin.com/in/shada-basyoni-27680a315?trk=contact-info</v>
      </c>
      <c r="I284" s="1"/>
      <c r="J284" s="1"/>
      <c r="K284" s="1" t="str">
        <f ca="1">IFERROR(__xludf.DUMMYFUNCTION("""COMPUTED_VALUE"""),"Mansoura University")</f>
        <v>Mansoura University</v>
      </c>
      <c r="L284" s="1"/>
      <c r="M284" s="1" t="str">
        <f ca="1">IFERROR(__xludf.DUMMYFUNCTION("""COMPUTED_VALUE"""),"Other")</f>
        <v>Other</v>
      </c>
      <c r="N284" s="1" t="str">
        <f ca="1">IFERROR(__xludf.DUMMYFUNCTION("""COMPUTED_VALUE"""),"Faculty of Arts, Psychology department ")</f>
        <v xml:space="preserve">Faculty of Arts, Psychology department </v>
      </c>
      <c r="O284" s="1" t="str">
        <f ca="1">IFERROR(__xludf.DUMMYFUNCTION("""COMPUTED_VALUE"""),"2nd Year")</f>
        <v>2nd Year</v>
      </c>
      <c r="R284" s="1" t="s">
        <v>417</v>
      </c>
    </row>
    <row r="285" spans="1:18">
      <c r="A285" s="1" t="str">
        <f ca="1">IFERROR(__xludf.DUMMYFUNCTION("""COMPUTED_VALUE"""),"Farouk sakr")</f>
        <v>Farouk sakr</v>
      </c>
      <c r="B285" s="1" t="str">
        <f ca="1">IFERROR(__xludf.DUMMYFUNCTION("""COMPUTED_VALUE"""),"farouksakr694@gmail.com")</f>
        <v>farouksakr694@gmail.com</v>
      </c>
      <c r="C285" s="1">
        <f ca="1">IFERROR(__xludf.DUMMYFUNCTION("""COMPUTED_VALUE"""),201030056207)</f>
        <v>201030056207</v>
      </c>
      <c r="D285" s="1" t="str">
        <f ca="1">IFERROR(__xludf.DUMMYFUNCTION("""COMPUTED_VALUE"""),"Mansoura")</f>
        <v>Mansoura</v>
      </c>
      <c r="E285" s="12" t="str">
        <f ca="1">IFERROR(__xludf.DUMMYFUNCTION("""COMPUTED_VALUE"""),"https://www.facebook.com/share/GZEv18qukgSnJT2x/?mibextid=LQQJ4d")</f>
        <v>https://www.facebook.com/share/GZEv18qukgSnJT2x/?mibextid=LQQJ4d</v>
      </c>
      <c r="F285" s="1" t="str">
        <f ca="1">IFERROR(__xludf.DUMMYFUNCTION("""COMPUTED_VALUE"""),"Farouk sakr")</f>
        <v>Farouk sakr</v>
      </c>
      <c r="G285" s="1"/>
      <c r="H285" s="1"/>
      <c r="I285" s="1"/>
      <c r="J285" s="1"/>
      <c r="K285" s="1" t="str">
        <f ca="1">IFERROR(__xludf.DUMMYFUNCTION("""COMPUTED_VALUE"""),"Mansoura University")</f>
        <v>Mansoura University</v>
      </c>
      <c r="L285" s="1"/>
      <c r="M285" s="1" t="str">
        <f ca="1">IFERROR(__xludf.DUMMYFUNCTION("""COMPUTED_VALUE"""),"Faculty of Computer &amp; Information Science")</f>
        <v>Faculty of Computer &amp; Information Science</v>
      </c>
      <c r="N285" s="1"/>
      <c r="O285" s="1" t="str">
        <f ca="1">IFERROR(__xludf.DUMMYFUNCTION("""COMPUTED_VALUE"""),"1st Year")</f>
        <v>1st Year</v>
      </c>
      <c r="R285" s="1" t="s">
        <v>418</v>
      </c>
    </row>
    <row r="286" spans="1:18">
      <c r="A286" s="1" t="str">
        <f ca="1">IFERROR(__xludf.DUMMYFUNCTION("""COMPUTED_VALUE"""),"Eman Mohammed Mohammed Ashry")</f>
        <v>Eman Mohammed Mohammed Ashry</v>
      </c>
      <c r="B286" s="1" t="str">
        <f ca="1">IFERROR(__xludf.DUMMYFUNCTION("""COMPUTED_VALUE"""),"emanashry256@gmail.com")</f>
        <v>emanashry256@gmail.com</v>
      </c>
      <c r="C286" s="1">
        <f ca="1">IFERROR(__xludf.DUMMYFUNCTION("""COMPUTED_VALUE"""),201551674744)</f>
        <v>201551674744</v>
      </c>
      <c r="D286" s="1" t="str">
        <f ca="1">IFERROR(__xludf.DUMMYFUNCTION("""COMPUTED_VALUE"""),"المنصورة ")</f>
        <v xml:space="preserve">المنصورة </v>
      </c>
      <c r="E286" s="12" t="str">
        <f ca="1">IFERROR(__xludf.DUMMYFUNCTION("""COMPUTED_VALUE"""),"https://www.facebook.com/profile.php?id=61556127450141")</f>
        <v>https://www.facebook.com/profile.php?id=61556127450141</v>
      </c>
      <c r="F286" s="1" t="str">
        <f ca="1">IFERROR(__xludf.DUMMYFUNCTION("""COMPUTED_VALUE"""),"...")</f>
        <v>...</v>
      </c>
      <c r="G286" s="1"/>
      <c r="H286" s="1"/>
      <c r="I286" s="1"/>
      <c r="J286" s="1"/>
      <c r="K286" s="1" t="str">
        <f ca="1">IFERROR(__xludf.DUMMYFUNCTION("""COMPUTED_VALUE"""),"Mansoura University")</f>
        <v>Mansoura University</v>
      </c>
      <c r="L286" s="1"/>
      <c r="M286" s="1" t="str">
        <f ca="1">IFERROR(__xludf.DUMMYFUNCTION("""COMPUTED_VALUE"""),"Faculty of Computer &amp; Information Science")</f>
        <v>Faculty of Computer &amp; Information Science</v>
      </c>
      <c r="N286" s="1"/>
      <c r="O286" s="1" t="str">
        <f ca="1">IFERROR(__xludf.DUMMYFUNCTION("""COMPUTED_VALUE"""),"2nd Year")</f>
        <v>2nd Year</v>
      </c>
      <c r="R286" s="1" t="s">
        <v>419</v>
      </c>
    </row>
    <row r="287" spans="1:18">
      <c r="A287" s="1" t="str">
        <f ca="1">IFERROR(__xludf.DUMMYFUNCTION("""COMPUTED_VALUE"""),"Rawan Tarek")</f>
        <v>Rawan Tarek</v>
      </c>
      <c r="B287" s="1" t="str">
        <f ca="1">IFERROR(__xludf.DUMMYFUNCTION("""COMPUTED_VALUE"""),"r01007424896@gmail.com")</f>
        <v>r01007424896@gmail.com</v>
      </c>
      <c r="C287" s="1">
        <f ca="1">IFERROR(__xludf.DUMMYFUNCTION("""COMPUTED_VALUE"""),201063394668)</f>
        <v>201063394668</v>
      </c>
      <c r="D287" s="1" t="str">
        <f ca="1">IFERROR(__xludf.DUMMYFUNCTION("""COMPUTED_VALUE"""),"المحله الكبرى الغربيه ")</f>
        <v xml:space="preserve">المحله الكبرى الغربيه </v>
      </c>
      <c r="E287" s="12" t="str">
        <f ca="1">IFERROR(__xludf.DUMMYFUNCTION("""COMPUTED_VALUE"""),"https://www.facebook.com/rawan.tarek.14661?mibextid=ZbWKwL")</f>
        <v>https://www.facebook.com/rawan.tarek.14661?mibextid=ZbWKwL</v>
      </c>
      <c r="F287" s="1" t="str">
        <f ca="1">IFERROR(__xludf.DUMMYFUNCTION("""COMPUTED_VALUE"""),"Not available ")</f>
        <v xml:space="preserve">Not available </v>
      </c>
      <c r="G287" s="1"/>
      <c r="H287" s="1"/>
      <c r="I287" s="1"/>
      <c r="J287" s="1"/>
      <c r="K287" s="1" t="str">
        <f ca="1">IFERROR(__xludf.DUMMYFUNCTION("""COMPUTED_VALUE"""),"Mansoura University")</f>
        <v>Mansoura University</v>
      </c>
      <c r="L287" s="1"/>
      <c r="M287" s="1" t="str">
        <f ca="1">IFERROR(__xludf.DUMMYFUNCTION("""COMPUTED_VALUE"""),"Faculty of Computer &amp; Information Science")</f>
        <v>Faculty of Computer &amp; Information Science</v>
      </c>
      <c r="N287" s="1"/>
      <c r="O287" s="1" t="str">
        <f ca="1">IFERROR(__xludf.DUMMYFUNCTION("""COMPUTED_VALUE"""),"1st Year")</f>
        <v>1st Year</v>
      </c>
      <c r="R287" s="1" t="s">
        <v>420</v>
      </c>
    </row>
    <row r="288" spans="1:18">
      <c r="A288" s="1" t="str">
        <f ca="1">IFERROR(__xludf.DUMMYFUNCTION("""COMPUTED_VALUE"""),"Sara Atef ")</f>
        <v xml:space="preserve">Sara Atef </v>
      </c>
      <c r="B288" s="1" t="str">
        <f ca="1">IFERROR(__xludf.DUMMYFUNCTION("""COMPUTED_VALUE"""),"saraatef396@gmail.com")</f>
        <v>saraatef396@gmail.com</v>
      </c>
      <c r="C288" s="1">
        <f ca="1">IFERROR(__xludf.DUMMYFUNCTION("""COMPUTED_VALUE"""),201069662414)</f>
        <v>201069662414</v>
      </c>
      <c r="D288" s="1" t="str">
        <f ca="1">IFERROR(__xludf.DUMMYFUNCTION("""COMPUTED_VALUE"""),"Aga")</f>
        <v>Aga</v>
      </c>
      <c r="E288" s="12" t="str">
        <f ca="1">IFERROR(__xludf.DUMMYFUNCTION("""COMPUTED_VALUE"""),"https://www.facebook.com/sara.atef.75685962")</f>
        <v>https://www.facebook.com/sara.atef.75685962</v>
      </c>
      <c r="F288" s="1" t="str">
        <f ca="1">IFERROR(__xludf.DUMMYFUNCTION("""COMPUTED_VALUE"""),"Saratef")</f>
        <v>Saratef</v>
      </c>
      <c r="G288" s="1"/>
      <c r="H288" s="12" t="str">
        <f ca="1">IFERROR(__xludf.DUMMYFUNCTION("""COMPUTED_VALUE"""),"https://www.linkedin.com/in/sara-atef-076131252?utm_source=share&amp;utm_campaign=share_via&amp;utm_content=profile&amp;utm_medium=android_app")</f>
        <v>https://www.linkedin.com/in/sara-atef-076131252?utm_source=share&amp;utm_campaign=share_via&amp;utm_content=profile&amp;utm_medium=android_app</v>
      </c>
      <c r="I288" s="1"/>
      <c r="J288" s="1"/>
      <c r="K288" s="1" t="str">
        <f ca="1">IFERROR(__xludf.DUMMYFUNCTION("""COMPUTED_VALUE"""),"Mansoura University")</f>
        <v>Mansoura University</v>
      </c>
      <c r="L288" s="1"/>
      <c r="M288" s="1" t="str">
        <f ca="1">IFERROR(__xludf.DUMMYFUNCTION("""COMPUTED_VALUE"""),"Faculty of Computer &amp; Information Science")</f>
        <v>Faculty of Computer &amp; Information Science</v>
      </c>
      <c r="N288" s="1"/>
      <c r="O288" s="1" t="str">
        <f ca="1">IFERROR(__xludf.DUMMYFUNCTION("""COMPUTED_VALUE"""),"4th Year")</f>
        <v>4th Year</v>
      </c>
      <c r="R288" s="1" t="s">
        <v>421</v>
      </c>
    </row>
    <row r="289" spans="1:18">
      <c r="A289" s="1" t="str">
        <f ca="1">IFERROR(__xludf.DUMMYFUNCTION("""COMPUTED_VALUE"""),"Nada Momtaz")</f>
        <v>Nada Momtaz</v>
      </c>
      <c r="B289" s="1" t="str">
        <f ca="1">IFERROR(__xludf.DUMMYFUNCTION("""COMPUTED_VALUE"""),"nadamomtaz2022@gmail.com")</f>
        <v>nadamomtaz2022@gmail.com</v>
      </c>
      <c r="C289" s="1">
        <f ca="1">IFERROR(__xludf.DUMMYFUNCTION("""COMPUTED_VALUE"""),201030033387)</f>
        <v>201030033387</v>
      </c>
      <c r="D289" s="1" t="str">
        <f ca="1">IFERROR(__xludf.DUMMYFUNCTION("""COMPUTED_VALUE"""),"Sherbien")</f>
        <v>Sherbien</v>
      </c>
      <c r="E289" s="12" t="str">
        <f ca="1">IFERROR(__xludf.DUMMYFUNCTION("""COMPUTED_VALUE"""),"https://www.facebook.com/share/1Efc3QQNyE/")</f>
        <v>https://www.facebook.com/share/1Efc3QQNyE/</v>
      </c>
      <c r="F289" s="12" t="str">
        <f ca="1">IFERROR(__xludf.DUMMYFUNCTION("""COMPUTED_VALUE"""),"https://discord.gg/xHwcgEV7")</f>
        <v>https://discord.gg/xHwcgEV7</v>
      </c>
      <c r="G289" s="12" t="str">
        <f ca="1">IFERROR(__xludf.DUMMYFUNCTION("""COMPUTED_VALUE"""),"https://x.com/nada_momtaz_2?t=jGKcsMH2J75913Skag3R8g&amp;s=09")</f>
        <v>https://x.com/nada_momtaz_2?t=jGKcsMH2J75913Skag3R8g&amp;s=09</v>
      </c>
      <c r="H289" s="12" t="str">
        <f ca="1">IFERROR(__xludf.DUMMYFUNCTION("""COMPUTED_VALUE"""),"https://www.linkedin.com/in/nada-momtaz-25465b254?utm_source=share&amp;utm_campaign=share_via&amp;utm_content=profile&amp;utm_medium=android_app")</f>
        <v>https://www.linkedin.com/in/nada-momtaz-25465b254?utm_source=share&amp;utm_campaign=share_via&amp;utm_content=profile&amp;utm_medium=android_app</v>
      </c>
      <c r="I289" s="12" t="str">
        <f ca="1">IFERROR(__xludf.DUMMYFUNCTION("""COMPUTED_VALUE"""),"https://github.com/nadamomtaz")</f>
        <v>https://github.com/nadamomtaz</v>
      </c>
      <c r="J289" s="12" t="str">
        <f ca="1">IFERROR(__xludf.DUMMYFUNCTION("""COMPUTED_VALUE"""),"https://www.behance.net/nadamomtaz2022")</f>
        <v>https://www.behance.net/nadamomtaz2022</v>
      </c>
      <c r="K289" s="1" t="str">
        <f ca="1">IFERROR(__xludf.DUMMYFUNCTION("""COMPUTED_VALUE"""),"Mansoura University")</f>
        <v>Mansoura University</v>
      </c>
      <c r="L289" s="1"/>
      <c r="M289" s="1" t="str">
        <f ca="1">IFERROR(__xludf.DUMMYFUNCTION("""COMPUTED_VALUE"""),"Faculty of Computer &amp; Information Science")</f>
        <v>Faculty of Computer &amp; Information Science</v>
      </c>
      <c r="N289" s="1"/>
      <c r="O289" s="1" t="str">
        <f ca="1">IFERROR(__xludf.DUMMYFUNCTION("""COMPUTED_VALUE"""),"1st Year")</f>
        <v>1st Year</v>
      </c>
      <c r="R289" s="1" t="s">
        <v>422</v>
      </c>
    </row>
    <row r="290" spans="1:18">
      <c r="A290" s="1" t="str">
        <f ca="1">IFERROR(__xludf.DUMMYFUNCTION("""COMPUTED_VALUE"""),"Abdelrhamn Ezzat")</f>
        <v>Abdelrhamn Ezzat</v>
      </c>
      <c r="B290" s="1" t="str">
        <f ca="1">IFERROR(__xludf.DUMMYFUNCTION("""COMPUTED_VALUE"""),"ezzatabdelrhman16@gmail.com")</f>
        <v>ezzatabdelrhman16@gmail.com</v>
      </c>
      <c r="C290" s="1">
        <f ca="1">IFERROR(__xludf.DUMMYFUNCTION("""COMPUTED_VALUE"""),201121473169)</f>
        <v>201121473169</v>
      </c>
      <c r="D290" s="1" t="str">
        <f ca="1">IFERROR(__xludf.DUMMYFUNCTION("""COMPUTED_VALUE"""),"Mansoura")</f>
        <v>Mansoura</v>
      </c>
      <c r="E290" s="12" t="str">
        <f ca="1">IFERROR(__xludf.DUMMYFUNCTION("""COMPUTED_VALUE"""),"https://www.facebook.com/profile.php?id=100094929424709&amp;mibextid=ZbWKwL")</f>
        <v>https://www.facebook.com/profile.php?id=100094929424709&amp;mibextid=ZbWKwL</v>
      </c>
      <c r="F290" s="1" t="str">
        <f ca="1">IFERROR(__xludf.DUMMYFUNCTION("""COMPUTED_VALUE"""),"abdelrhman09436")</f>
        <v>abdelrhman09436</v>
      </c>
      <c r="G290" s="1"/>
      <c r="H290" s="1"/>
      <c r="I290" s="1"/>
      <c r="J290" s="1"/>
      <c r="K290" s="1" t="str">
        <f ca="1">IFERROR(__xludf.DUMMYFUNCTION("""COMPUTED_VALUE"""),"Mansoura University")</f>
        <v>Mansoura University</v>
      </c>
      <c r="L290" s="1"/>
      <c r="M290" s="1" t="str">
        <f ca="1">IFERROR(__xludf.DUMMYFUNCTION("""COMPUTED_VALUE"""),"Faculty of Computer &amp; Information Science")</f>
        <v>Faculty of Computer &amp; Information Science</v>
      </c>
      <c r="N290" s="1"/>
      <c r="O290" s="1" t="str">
        <f ca="1">IFERROR(__xludf.DUMMYFUNCTION("""COMPUTED_VALUE"""),"2nd Year")</f>
        <v>2nd Year</v>
      </c>
      <c r="R290" s="1" t="s">
        <v>17</v>
      </c>
    </row>
    <row r="291" spans="1:18">
      <c r="A291" s="1" t="str">
        <f ca="1">IFERROR(__xludf.DUMMYFUNCTION("""COMPUTED_VALUE"""),"Mohamed Mosaad Abdulmajeed")</f>
        <v>Mohamed Mosaad Abdulmajeed</v>
      </c>
      <c r="B291" s="1" t="str">
        <f ca="1">IFERROR(__xludf.DUMMYFUNCTION("""COMPUTED_VALUE"""),"muhamedmosad1@gmail.com")</f>
        <v>muhamedmosad1@gmail.com</v>
      </c>
      <c r="C291" s="1">
        <f ca="1">IFERROR(__xludf.DUMMYFUNCTION("""COMPUTED_VALUE"""),201093497921)</f>
        <v>201093497921</v>
      </c>
      <c r="D291" s="1" t="str">
        <f ca="1">IFERROR(__xludf.DUMMYFUNCTION("""COMPUTED_VALUE"""),"muhamedmosad1@gmail.com")</f>
        <v>muhamedmosad1@gmail.com</v>
      </c>
      <c r="E291" s="12" t="str">
        <f ca="1">IFERROR(__xludf.DUMMYFUNCTION("""COMPUTED_VALUE"""),"https://www.facebook.com/mohammad.mosad.9212?mibextid=ZbWKwL")</f>
        <v>https://www.facebook.com/mohammad.mosad.9212?mibextid=ZbWKwL</v>
      </c>
      <c r="F291" s="1" t="str">
        <f ca="1">IFERROR(__xludf.DUMMYFUNCTION("""COMPUTED_VALUE"""),"itsmohamed.")</f>
        <v>itsmohamed.</v>
      </c>
      <c r="G291" s="1"/>
      <c r="H291" s="1"/>
      <c r="I291" s="1"/>
      <c r="J291" s="1"/>
      <c r="K291" s="1" t="str">
        <f ca="1">IFERROR(__xludf.DUMMYFUNCTION("""COMPUTED_VALUE"""),"Mansoura University")</f>
        <v>Mansoura University</v>
      </c>
      <c r="L291" s="1"/>
      <c r="M291" s="1" t="str">
        <f ca="1">IFERROR(__xludf.DUMMYFUNCTION("""COMPUTED_VALUE"""),"Faculty of Engineering")</f>
        <v>Faculty of Engineering</v>
      </c>
      <c r="N291" s="1"/>
      <c r="O291" s="1" t="str">
        <f ca="1">IFERROR(__xludf.DUMMYFUNCTION("""COMPUTED_VALUE"""),"1st Year")</f>
        <v>1st Year</v>
      </c>
      <c r="R291" s="1" t="s">
        <v>423</v>
      </c>
    </row>
    <row r="292" spans="1:18">
      <c r="A292" s="1" t="str">
        <f ca="1">IFERROR(__xludf.DUMMYFUNCTION("""COMPUTED_VALUE"""),"Mohamed Ashraf")</f>
        <v>Mohamed Ashraf</v>
      </c>
      <c r="B292" s="1" t="str">
        <f ca="1">IFERROR(__xludf.DUMMYFUNCTION("""COMPUTED_VALUE"""),"mohamedasharfali2211@gmail.com")</f>
        <v>mohamedasharfali2211@gmail.com</v>
      </c>
      <c r="C292" s="1">
        <f ca="1">IFERROR(__xludf.DUMMYFUNCTION("""COMPUTED_VALUE"""),201003581962)</f>
        <v>201003581962</v>
      </c>
      <c r="D292" s="1" t="str">
        <f ca="1">IFERROR(__xludf.DUMMYFUNCTION("""COMPUTED_VALUE""")," المنصوره ")</f>
        <v xml:space="preserve"> المنصوره </v>
      </c>
      <c r="E292" s="12" t="str">
        <f ca="1">IFERROR(__xludf.DUMMYFUNCTION("""COMPUTED_VALUE"""),"https://www.facebook.com/profile.php?id=100095152026512")</f>
        <v>https://www.facebook.com/profile.php?id=100095152026512</v>
      </c>
      <c r="F292" s="1" t="str">
        <f ca="1">IFERROR(__xludf.DUMMYFUNCTION("""COMPUTED_VALUE"""),"mohamedashrafmohamed0351")</f>
        <v>mohamedashrafmohamed0351</v>
      </c>
      <c r="G292" s="1" t="str">
        <f ca="1">IFERROR(__xludf.DUMMYFUNCTION("""COMPUTED_VALUE"""),"mohamedasharfali2211@gmail.com")</f>
        <v>mohamedasharfali2211@gmail.com</v>
      </c>
      <c r="H292" s="12" t="str">
        <f ca="1">IFERROR(__xludf.DUMMYFUNCTION("""COMPUTED_VALUE"""),"www.linkedin.com/in/mohamed-asharf-53066625b")</f>
        <v>www.linkedin.com/in/mohamed-asharf-53066625b</v>
      </c>
      <c r="I292" s="12" t="str">
        <f ca="1">IFERROR(__xludf.DUMMYFUNCTION("""COMPUTED_VALUE"""),"https://github.com/engineer-mohamed")</f>
        <v>https://github.com/engineer-mohamed</v>
      </c>
      <c r="J292" s="1"/>
      <c r="K292" s="1" t="str">
        <f ca="1">IFERROR(__xludf.DUMMYFUNCTION("""COMPUTED_VALUE"""),"Mansoura University")</f>
        <v>Mansoura University</v>
      </c>
      <c r="L292" s="1"/>
      <c r="M292" s="1" t="str">
        <f ca="1">IFERROR(__xludf.DUMMYFUNCTION("""COMPUTED_VALUE"""),"Faculty of Engineering")</f>
        <v>Faculty of Engineering</v>
      </c>
      <c r="N292" s="1"/>
      <c r="O292" s="1" t="str">
        <f ca="1">IFERROR(__xludf.DUMMYFUNCTION("""COMPUTED_VALUE"""),"2nd Year")</f>
        <v>2nd Year</v>
      </c>
      <c r="R292" s="1" t="s">
        <v>424</v>
      </c>
    </row>
    <row r="293" spans="1:18">
      <c r="A293" s="1" t="str">
        <f ca="1">IFERROR(__xludf.DUMMYFUNCTION("""COMPUTED_VALUE"""),"Mohamed Amr Mohamed Mohamed Elzoghby")</f>
        <v>Mohamed Amr Mohamed Mohamed Elzoghby</v>
      </c>
      <c r="B293" s="1" t="str">
        <f ca="1">IFERROR(__xludf.DUMMYFUNCTION("""COMPUTED_VALUE"""),"mohamedamr2770@gmail.com")</f>
        <v>mohamedamr2770@gmail.com</v>
      </c>
      <c r="C293" s="1">
        <f ca="1">IFERROR(__xludf.DUMMYFUNCTION("""COMPUTED_VALUE"""),201094027974)</f>
        <v>201094027974</v>
      </c>
      <c r="D293" s="1" t="str">
        <f ca="1">IFERROR(__xludf.DUMMYFUNCTION("""COMPUTED_VALUE"""),"Mit ghamr eldakahlya")</f>
        <v>Mit ghamr eldakahlya</v>
      </c>
      <c r="E293" s="1" t="str">
        <f ca="1">IFERROR(__xludf.DUMMYFUNCTION("""COMPUTED_VALUE"""),"melzoghby53@yahoo.com")</f>
        <v>melzoghby53@yahoo.com</v>
      </c>
      <c r="F293" s="1" t="str">
        <f ca="1">IFERROR(__xludf.DUMMYFUNCTION("""COMPUTED_VALUE"""),"mohamedamrelzoghby")</f>
        <v>mohamedamrelzoghby</v>
      </c>
      <c r="G293" s="12" t="str">
        <f ca="1">IFERROR(__xludf.DUMMYFUNCTION("""COMPUTED_VALUE"""),"https://x.com/MohamedElz_122?t=bet33I35biCsaWkC0IvkGg&amp;s=09")</f>
        <v>https://x.com/MohamedElz_122?t=bet33I35biCsaWkC0IvkGg&amp;s=09</v>
      </c>
      <c r="H293" s="12" t="str">
        <f ca="1">IFERROR(__xludf.DUMMYFUNCTION("""COMPUTED_VALUE"""),"https://www.linkedin.com/in/mohamed-elzoghby-a5227333a?utm_source=share&amp;utm_campaign=share_via&amp;utm_content=profile&amp;utm_medium=android_app")</f>
        <v>https://www.linkedin.com/in/mohamed-elzoghby-a5227333a?utm_source=share&amp;utm_campaign=share_via&amp;utm_content=profile&amp;utm_medium=android_app</v>
      </c>
      <c r="I293" s="12" t="str">
        <f ca="1">IFERROR(__xludf.DUMMYFUNCTION("""COMPUTED_VALUE"""),"https://github.com/MoElzoghby")</f>
        <v>https://github.com/MoElzoghby</v>
      </c>
      <c r="J293" s="12" t="str">
        <f ca="1">IFERROR(__xludf.DUMMYFUNCTION("""COMPUTED_VALUE"""),"https://www.behance.net/mohamedelzoghby5")</f>
        <v>https://www.behance.net/mohamedelzoghby5</v>
      </c>
      <c r="K293" s="1" t="str">
        <f ca="1">IFERROR(__xludf.DUMMYFUNCTION("""COMPUTED_VALUE"""),"Mansoura University")</f>
        <v>Mansoura University</v>
      </c>
      <c r="L293" s="1"/>
      <c r="M293" s="1" t="str">
        <f ca="1">IFERROR(__xludf.DUMMYFUNCTION("""COMPUTED_VALUE"""),"Faculty of Computer &amp; Information Science")</f>
        <v>Faculty of Computer &amp; Information Science</v>
      </c>
      <c r="N293" s="1"/>
      <c r="O293" s="1" t="str">
        <f ca="1">IFERROR(__xludf.DUMMYFUNCTION("""COMPUTED_VALUE"""),"1st Year")</f>
        <v>1st Year</v>
      </c>
      <c r="R293" s="1" t="s">
        <v>425</v>
      </c>
    </row>
    <row r="294" spans="1:18">
      <c r="A294" s="1" t="str">
        <f ca="1">IFERROR(__xludf.DUMMYFUNCTION("""COMPUTED_VALUE"""),"Rawan Rakha")</f>
        <v>Rawan Rakha</v>
      </c>
      <c r="B294" s="1" t="str">
        <f ca="1">IFERROR(__xludf.DUMMYFUNCTION("""COMPUTED_VALUE"""),"rawan.rakha9@gmail.com")</f>
        <v>rawan.rakha9@gmail.com</v>
      </c>
      <c r="C294" s="1">
        <f ca="1">IFERROR(__xludf.DUMMYFUNCTION("""COMPUTED_VALUE"""),201559234900)</f>
        <v>201559234900</v>
      </c>
      <c r="D294" s="1" t="str">
        <f ca="1">IFERROR(__xludf.DUMMYFUNCTION("""COMPUTED_VALUE"""),"Gharbia Elmahala   ")</f>
        <v xml:space="preserve">Gharbia Elmahala   </v>
      </c>
      <c r="E294" s="12" t="str">
        <f ca="1">IFERROR(__xludf.DUMMYFUNCTION("""COMPUTED_VALUE"""),"https://www.facebook.com/share/17md7Xi9e3/?mibextid=LQQJ4d")</f>
        <v>https://www.facebook.com/share/17md7Xi9e3/?mibextid=LQQJ4d</v>
      </c>
      <c r="F294" s="1" t="str">
        <f ca="1">IFERROR(__xludf.DUMMYFUNCTION("""COMPUTED_VALUE"""),"Not available ")</f>
        <v xml:space="preserve">Not available </v>
      </c>
      <c r="G294" s="1"/>
      <c r="H294" s="1"/>
      <c r="I294" s="1"/>
      <c r="J294" s="1"/>
      <c r="K294" s="1" t="str">
        <f ca="1">IFERROR(__xludf.DUMMYFUNCTION("""COMPUTED_VALUE"""),"Mansoura University")</f>
        <v>Mansoura University</v>
      </c>
      <c r="L294" s="1"/>
      <c r="M294" s="1" t="str">
        <f ca="1">IFERROR(__xludf.DUMMYFUNCTION("""COMPUTED_VALUE"""),"Faculty of Computer &amp; Information Science")</f>
        <v>Faculty of Computer &amp; Information Science</v>
      </c>
      <c r="N294" s="1"/>
      <c r="O294" s="1" t="str">
        <f ca="1">IFERROR(__xludf.DUMMYFUNCTION("""COMPUTED_VALUE"""),"1st Year")</f>
        <v>1st Year</v>
      </c>
      <c r="R294" s="1" t="s">
        <v>426</v>
      </c>
    </row>
    <row r="295" spans="1:18">
      <c r="A295" s="1" t="str">
        <f ca="1">IFERROR(__xludf.DUMMYFUNCTION("""COMPUTED_VALUE"""),"Shahd Ibrahim")</f>
        <v>Shahd Ibrahim</v>
      </c>
      <c r="B295" s="1" t="str">
        <f ca="1">IFERROR(__xludf.DUMMYFUNCTION("""COMPUTED_VALUE"""),"sh777d000@gmail.com")</f>
        <v>sh777d000@gmail.com</v>
      </c>
      <c r="C295" s="1">
        <f ca="1">IFERROR(__xludf.DUMMYFUNCTION("""COMPUTED_VALUE"""),201021732806)</f>
        <v>201021732806</v>
      </c>
      <c r="D295" s="1" t="str">
        <f ca="1">IFERROR(__xludf.DUMMYFUNCTION("""COMPUTED_VALUE"""),"Dikernes-Dakahlia")</f>
        <v>Dikernes-Dakahlia</v>
      </c>
      <c r="E295" s="12" t="str">
        <f ca="1">IFERROR(__xludf.DUMMYFUNCTION("""COMPUTED_VALUE"""),"https://www.facebook.com/share/1EopR255UK/")</f>
        <v>https://www.facebook.com/share/1EopR255UK/</v>
      </c>
      <c r="F295" s="12" t="str">
        <f ca="1">IFERROR(__xludf.DUMMYFUNCTION("""COMPUTED_VALUE"""),"https://discord.com/channels/_sha7d_")</f>
        <v>https://discord.com/channels/_sha7d_</v>
      </c>
      <c r="G295" s="1"/>
      <c r="H295" s="12" t="str">
        <f ca="1">IFERROR(__xludf.DUMMYFUNCTION("""COMPUTED_VALUE"""),"www.linkedin.com/in/shahd-ibrahim-92823629b")</f>
        <v>www.linkedin.com/in/shahd-ibrahim-92823629b</v>
      </c>
      <c r="I295" s="12" t="str">
        <f ca="1">IFERROR(__xludf.DUMMYFUNCTION("""COMPUTED_VALUE"""),"https://github.com/users/SHahd-Ibrahim-Rezq")</f>
        <v>https://github.com/users/SHahd-Ibrahim-Rezq</v>
      </c>
      <c r="J295" s="1"/>
      <c r="K295" s="1" t="str">
        <f ca="1">IFERROR(__xludf.DUMMYFUNCTION("""COMPUTED_VALUE"""),"Mansoura University")</f>
        <v>Mansoura University</v>
      </c>
      <c r="L295" s="1"/>
      <c r="M295" s="1" t="str">
        <f ca="1">IFERROR(__xludf.DUMMYFUNCTION("""COMPUTED_VALUE"""),"Faculty of Computer &amp; Information Science")</f>
        <v>Faculty of Computer &amp; Information Science</v>
      </c>
      <c r="N295" s="1"/>
      <c r="O295" s="1" t="str">
        <f ca="1">IFERROR(__xludf.DUMMYFUNCTION("""COMPUTED_VALUE"""),"3rd Year")</f>
        <v>3rd Year</v>
      </c>
      <c r="R295" s="1" t="s">
        <v>427</v>
      </c>
    </row>
    <row r="296" spans="1:18">
      <c r="A296" s="1" t="str">
        <f ca="1">IFERROR(__xludf.DUMMYFUNCTION("""COMPUTED_VALUE"""),"Abdelfatah Ibrahim Abdelfatah Afefy")</f>
        <v>Abdelfatah Ibrahim Abdelfatah Afefy</v>
      </c>
      <c r="B296" s="1" t="str">
        <f ca="1">IFERROR(__xludf.DUMMYFUNCTION("""COMPUTED_VALUE"""),"elbashaabdo541@gmail.com")</f>
        <v>elbashaabdo541@gmail.com</v>
      </c>
      <c r="C296" s="1">
        <f ca="1">IFERROR(__xludf.DUMMYFUNCTION("""COMPUTED_VALUE"""),201060283920)</f>
        <v>201060283920</v>
      </c>
      <c r="D296" s="1" t="str">
        <f ca="1">IFERROR(__xludf.DUMMYFUNCTION("""COMPUTED_VALUE"""),"Dakahlia / Gamasa")</f>
        <v>Dakahlia / Gamasa</v>
      </c>
      <c r="E296" s="12" t="str">
        <f ca="1">IFERROR(__xludf.DUMMYFUNCTION("""COMPUTED_VALUE"""),"https://www.facebook.com/profile.php?id=100008847009735&amp;mibextid=ZbWKwL")</f>
        <v>https://www.facebook.com/profile.php?id=100008847009735&amp;mibextid=ZbWKwL</v>
      </c>
      <c r="F296" s="1" t="str">
        <f ca="1">IFERROR(__xludf.DUMMYFUNCTION("""COMPUTED_VALUE"""),"abdelfatah11_18133")</f>
        <v>abdelfatah11_18133</v>
      </c>
      <c r="G296" s="1"/>
      <c r="H296" s="12" t="str">
        <f ca="1">IFERROR(__xludf.DUMMYFUNCTION("""COMPUTED_VALUE"""),"https://www.linkedin.com/in/abdelfatah-ibrahim-ab7081262/")</f>
        <v>https://www.linkedin.com/in/abdelfatah-ibrahim-ab7081262/</v>
      </c>
      <c r="I296" s="1"/>
      <c r="J296" s="1"/>
      <c r="K296" s="1" t="str">
        <f ca="1">IFERROR(__xludf.DUMMYFUNCTION("""COMPUTED_VALUE"""),"Other")</f>
        <v>Other</v>
      </c>
      <c r="L296" s="1"/>
      <c r="M296" s="1" t="str">
        <f ca="1">IFERROR(__xludf.DUMMYFUNCTION("""COMPUTED_VALUE"""),"Faculty of Computer &amp; Information Science")</f>
        <v>Faculty of Computer &amp; Information Science</v>
      </c>
      <c r="N296" s="1"/>
      <c r="O296" s="1" t="str">
        <f ca="1">IFERROR(__xludf.DUMMYFUNCTION("""COMPUTED_VALUE"""),"4th Year")</f>
        <v>4th Year</v>
      </c>
      <c r="R296" s="1" t="s">
        <v>428</v>
      </c>
    </row>
    <row r="297" spans="1:18">
      <c r="A297" s="1" t="str">
        <f ca="1">IFERROR(__xludf.DUMMYFUNCTION("""COMPUTED_VALUE"""),"Rana Arida")</f>
        <v>Rana Arida</v>
      </c>
      <c r="B297" s="1" t="str">
        <f ca="1">IFERROR(__xludf.DUMMYFUNCTION("""COMPUTED_VALUE"""),"ranaarida4@gmail.com")</f>
        <v>ranaarida4@gmail.com</v>
      </c>
      <c r="C297" s="1">
        <f ca="1">IFERROR(__xludf.DUMMYFUNCTION("""COMPUTED_VALUE"""),201069532323)</f>
        <v>201069532323</v>
      </c>
      <c r="D297" s="1" t="str">
        <f ca="1">IFERROR(__xludf.DUMMYFUNCTION("""COMPUTED_VALUE"""),"Aga")</f>
        <v>Aga</v>
      </c>
      <c r="E297" s="12" t="str">
        <f ca="1">IFERROR(__xludf.DUMMYFUNCTION("""COMPUTED_VALUE"""),"https://www.facebook.com/share/k7YAN4Jn7Lxdeheu/?mibextid=LQQJ4d")</f>
        <v>https://www.facebook.com/share/k7YAN4Jn7Lxdeheu/?mibextid=LQQJ4d</v>
      </c>
      <c r="F297" s="1" t="str">
        <f ca="1">IFERROR(__xludf.DUMMYFUNCTION("""COMPUTED_VALUE"""),"rana3rida_39304")</f>
        <v>rana3rida_39304</v>
      </c>
      <c r="G297" s="1"/>
      <c r="H297" s="12" t="str">
        <f ca="1">IFERROR(__xludf.DUMMYFUNCTION("""COMPUTED_VALUE"""),"https://www.linkedin.com/in/rana-arida-711705268?utm_source=share&amp;utm_campaign=share_via&amp;utm_content=profile&amp;utm_medium=ios_app")</f>
        <v>https://www.linkedin.com/in/rana-arida-711705268?utm_source=share&amp;utm_campaign=share_via&amp;utm_content=profile&amp;utm_medium=ios_app</v>
      </c>
      <c r="I297" s="1"/>
      <c r="J297" s="12" t="str">
        <f ca="1">IFERROR(__xludf.DUMMYFUNCTION("""COMPUTED_VALUE"""),"https://www.behance.net/ranaarida")</f>
        <v>https://www.behance.net/ranaarida</v>
      </c>
      <c r="K297" s="1" t="str">
        <f ca="1">IFERROR(__xludf.DUMMYFUNCTION("""COMPUTED_VALUE"""),"Mansoura University")</f>
        <v>Mansoura University</v>
      </c>
      <c r="L297" s="1"/>
      <c r="M297" s="1" t="str">
        <f ca="1">IFERROR(__xludf.DUMMYFUNCTION("""COMPUTED_VALUE"""),"Faculty of Computer &amp; Information Science")</f>
        <v>Faculty of Computer &amp; Information Science</v>
      </c>
      <c r="N297" s="1"/>
      <c r="O297" s="1" t="str">
        <f ca="1">IFERROR(__xludf.DUMMYFUNCTION("""COMPUTED_VALUE"""),"3rd Year")</f>
        <v>3rd Year</v>
      </c>
      <c r="R297" s="1" t="s">
        <v>429</v>
      </c>
    </row>
    <row r="298" spans="1:18">
      <c r="A298" s="1" t="str">
        <f ca="1">IFERROR(__xludf.DUMMYFUNCTION("""COMPUTED_VALUE"""),"محمد مصطفى ابراهيم شعبان علي زعبل")</f>
        <v>محمد مصطفى ابراهيم شعبان علي زعبل</v>
      </c>
      <c r="B298" s="1" t="str">
        <f ca="1">IFERROR(__xludf.DUMMYFUNCTION("""COMPUTED_VALUE"""),"mm12456889@gmail.com")</f>
        <v>mm12456889@gmail.com</v>
      </c>
      <c r="C298" s="1">
        <f ca="1">IFERROR(__xludf.DUMMYFUNCTION("""COMPUTED_VALUE"""),201126364194)</f>
        <v>201126364194</v>
      </c>
      <c r="D298" s="1" t="str">
        <f ca="1">IFERROR(__xludf.DUMMYFUNCTION("""COMPUTED_VALUE"""),"Mit ghamr ")</f>
        <v xml:space="preserve">Mit ghamr </v>
      </c>
      <c r="E298" s="12" t="str">
        <f ca="1">IFERROR(__xludf.DUMMYFUNCTION("""COMPUTED_VALUE"""),"https://www.facebook.com/profile.php?id=100010938374761&amp;mibextid=JRoKGi")</f>
        <v>https://www.facebook.com/profile.php?id=100010938374761&amp;mibextid=JRoKGi</v>
      </c>
      <c r="F298" s="1" t="str">
        <f ca="1">IFERROR(__xludf.DUMMYFUNCTION("""COMPUTED_VALUE"""),"mohamed_zaabal_37662")</f>
        <v>mohamed_zaabal_37662</v>
      </c>
      <c r="G298" s="1"/>
      <c r="H298" s="12" t="str">
        <f ca="1">IFERROR(__xludf.DUMMYFUNCTION("""COMPUTED_VALUE"""),"https://www.linkedin.com/in/mohamed-medo-7a76a4316?utm_source=share&amp;utm_campaign=share_via&amp;utm_content=profile&amp;utm_medium=android_app")</f>
        <v>https://www.linkedin.com/in/mohamed-medo-7a76a4316?utm_source=share&amp;utm_campaign=share_via&amp;utm_content=profile&amp;utm_medium=android_app</v>
      </c>
      <c r="I298" s="12" t="str">
        <f ca="1">IFERROR(__xludf.DUMMYFUNCTION("""COMPUTED_VALUE"""),"https://github.com/Mohamed-Zaabal")</f>
        <v>https://github.com/Mohamed-Zaabal</v>
      </c>
      <c r="J298" s="1"/>
      <c r="K298" s="1" t="str">
        <f ca="1">IFERROR(__xludf.DUMMYFUNCTION("""COMPUTED_VALUE"""),"Mansoura University")</f>
        <v>Mansoura University</v>
      </c>
      <c r="L298" s="1"/>
      <c r="M298" s="1" t="str">
        <f ca="1">IFERROR(__xludf.DUMMYFUNCTION("""COMPUTED_VALUE"""),"Faculty of Computer &amp; Information Science")</f>
        <v>Faculty of Computer &amp; Information Science</v>
      </c>
      <c r="N298" s="1"/>
      <c r="O298" s="1" t="str">
        <f ca="1">IFERROR(__xludf.DUMMYFUNCTION("""COMPUTED_VALUE"""),"2nd Year")</f>
        <v>2nd Year</v>
      </c>
      <c r="R298" s="1" t="s">
        <v>52</v>
      </c>
    </row>
    <row r="299" spans="1:18">
      <c r="A299" s="1" t="str">
        <f ca="1">IFERROR(__xludf.DUMMYFUNCTION("""COMPUTED_VALUE"""),"Salma Tarek Ali Mohamed")</f>
        <v>Salma Tarek Ali Mohamed</v>
      </c>
      <c r="B299" s="1" t="str">
        <f ca="1">IFERROR(__xludf.DUMMYFUNCTION("""COMPUTED_VALUE"""),"salmat935@gmail.com")</f>
        <v>salmat935@gmail.com</v>
      </c>
      <c r="C299" s="1">
        <f ca="1">IFERROR(__xludf.DUMMYFUNCTION("""COMPUTED_VALUE"""),201021064452)</f>
        <v>201021064452</v>
      </c>
      <c r="D299" s="1" t="str">
        <f ca="1">IFERROR(__xludf.DUMMYFUNCTION("""COMPUTED_VALUE"""),"Dakahlia")</f>
        <v>Dakahlia</v>
      </c>
      <c r="E299" s="12" t="str">
        <f ca="1">IFERROR(__xludf.DUMMYFUNCTION("""COMPUTED_VALUE"""),"https://www.facebook.com/profile.php?id=100046697760640")</f>
        <v>https://www.facebook.com/profile.php?id=100046697760640</v>
      </c>
      <c r="F299" s="1" t="str">
        <f ca="1">IFERROR(__xludf.DUMMYFUNCTION("""COMPUTED_VALUE"""),"solarwinds_200")</f>
        <v>solarwinds_200</v>
      </c>
      <c r="G299" s="12" t="str">
        <f ca="1">IFERROR(__xludf.DUMMYFUNCTION("""COMPUTED_VALUE"""),"https://www.facebook.com/profile.php?id=100046697760640")</f>
        <v>https://www.facebook.com/profile.php?id=100046697760640</v>
      </c>
      <c r="H299" s="12" t="str">
        <f ca="1">IFERROR(__xludf.DUMMYFUNCTION("""COMPUTED_VALUE"""),"https://www.linkedin.com/in/salma-tarek-solarwinds200")</f>
        <v>https://www.linkedin.com/in/salma-tarek-solarwinds200</v>
      </c>
      <c r="I299" s="12" t="str">
        <f ca="1">IFERROR(__xludf.DUMMYFUNCTION("""COMPUTED_VALUE"""),"https://www.facebook.com/profile.php?id=100046697760640")</f>
        <v>https://www.facebook.com/profile.php?id=100046697760640</v>
      </c>
      <c r="J299" s="12" t="str">
        <f ca="1">IFERROR(__xludf.DUMMYFUNCTION("""COMPUTED_VALUE"""),"https://www.facebook.com/profile.php?id=100046697760640")</f>
        <v>https://www.facebook.com/profile.php?id=100046697760640</v>
      </c>
      <c r="K299" s="1" t="str">
        <f ca="1">IFERROR(__xludf.DUMMYFUNCTION("""COMPUTED_VALUE"""),"Mansoura University")</f>
        <v>Mansoura University</v>
      </c>
      <c r="L299" s="1"/>
      <c r="M299" s="1" t="str">
        <f ca="1">IFERROR(__xludf.DUMMYFUNCTION("""COMPUTED_VALUE"""),"Faculty of Computer &amp; Information Science")</f>
        <v>Faculty of Computer &amp; Information Science</v>
      </c>
      <c r="N299" s="1"/>
      <c r="O299" s="1" t="str">
        <f ca="1">IFERROR(__xludf.DUMMYFUNCTION("""COMPUTED_VALUE"""),"3rd Year")</f>
        <v>3rd Year</v>
      </c>
      <c r="R299" s="1" t="s">
        <v>430</v>
      </c>
    </row>
    <row r="300" spans="1:18">
      <c r="A300" s="1" t="str">
        <f ca="1">IFERROR(__xludf.DUMMYFUNCTION("""COMPUTED_VALUE"""),"Shimaa osama")</f>
        <v>Shimaa osama</v>
      </c>
      <c r="B300" s="1" t="str">
        <f ca="1">IFERROR(__xludf.DUMMYFUNCTION("""COMPUTED_VALUE"""),"ffyj.dguhf467@gmail.com")</f>
        <v>ffyj.dguhf467@gmail.com</v>
      </c>
      <c r="C300" s="1">
        <f ca="1">IFERROR(__xludf.DUMMYFUNCTION("""COMPUTED_VALUE"""),201063197741)</f>
        <v>201063197741</v>
      </c>
      <c r="D300" s="1" t="str">
        <f ca="1">IFERROR(__xludf.DUMMYFUNCTION("""COMPUTED_VALUE"""),"Mansoura")</f>
        <v>Mansoura</v>
      </c>
      <c r="E300" s="12" t="str">
        <f ca="1">IFERROR(__xludf.DUMMYFUNCTION("""COMPUTED_VALUE"""),"https://www.instagram.com/shimaa.osama1_5/profilecard/?igsh=cDl6NjlzaTZ4YWJ5")</f>
        <v>https://www.instagram.com/shimaa.osama1_5/profilecard/?igsh=cDl6NjlzaTZ4YWJ5</v>
      </c>
      <c r="F300" s="12" t="str">
        <f ca="1">IFERROR(__xludf.DUMMYFUNCTION("""COMPUTED_VALUE"""),"https://discord.gg/qxHyXWWW")</f>
        <v>https://discord.gg/qxHyXWWW</v>
      </c>
      <c r="G300" s="12" t="str">
        <f ca="1">IFERROR(__xludf.DUMMYFUNCTION("""COMPUTED_VALUE"""),"https://x.com/AsamhMhmd70281?t=IV7lsVdYxmZaCTvkOF3fKg&amp;s=09")</f>
        <v>https://x.com/AsamhMhmd70281?t=IV7lsVdYxmZaCTvkOF3fKg&amp;s=09</v>
      </c>
      <c r="H300" s="12" t="str">
        <f ca="1">IFERROR(__xludf.DUMMYFUNCTION("""COMPUTED_VALUE"""),"https://linkedin.com/comm/mynetwork/discovery")</f>
        <v>https://linkedin.com/comm/mynetwork/discovery</v>
      </c>
      <c r="I300" s="1"/>
      <c r="J300" s="1"/>
      <c r="K300" s="1" t="str">
        <f ca="1">IFERROR(__xludf.DUMMYFUNCTION("""COMPUTED_VALUE"""),"Mansoura University")</f>
        <v>Mansoura University</v>
      </c>
      <c r="L300" s="1"/>
      <c r="M300" s="1" t="str">
        <f ca="1">IFERROR(__xludf.DUMMYFUNCTION("""COMPUTED_VALUE"""),"Faculty of Computer &amp; Information Science")</f>
        <v>Faculty of Computer &amp; Information Science</v>
      </c>
      <c r="N300" s="1"/>
      <c r="O300" s="1"/>
      <c r="R300" s="1" t="s">
        <v>431</v>
      </c>
    </row>
    <row r="301" spans="1:18">
      <c r="A301" s="1" t="str">
        <f ca="1">IFERROR(__xludf.DUMMYFUNCTION("""COMPUTED_VALUE"""),"Mostafa Yasser")</f>
        <v>Mostafa Yasser</v>
      </c>
      <c r="B301" s="1" t="str">
        <f ca="1">IFERROR(__xludf.DUMMYFUNCTION("""COMPUTED_VALUE"""),"mostafayasser654@gmail.com")</f>
        <v>mostafayasser654@gmail.com</v>
      </c>
      <c r="C301" s="1">
        <f ca="1">IFERROR(__xludf.DUMMYFUNCTION("""COMPUTED_VALUE"""),201065207540)</f>
        <v>201065207540</v>
      </c>
      <c r="D301" s="1" t="str">
        <f ca="1">IFERROR(__xludf.DUMMYFUNCTION("""COMPUTED_VALUE"""),"Fayium")</f>
        <v>Fayium</v>
      </c>
      <c r="E301" s="12" t="str">
        <f ca="1">IFERROR(__xludf.DUMMYFUNCTION("""COMPUTED_VALUE"""),"https://www.facebook.com/profile.php?id=61559612487374")</f>
        <v>https://www.facebook.com/profile.php?id=61559612487374</v>
      </c>
      <c r="F301" s="1" t="str">
        <f ca="1">IFERROR(__xludf.DUMMYFUNCTION("""COMPUTED_VALUE"""),"m0stqfa")</f>
        <v>m0stqfa</v>
      </c>
      <c r="G301" s="1"/>
      <c r="H301" s="12" t="str">
        <f ca="1">IFERROR(__xludf.DUMMYFUNCTION("""COMPUTED_VALUE"""),"https://www.linkedin.com/in/mostafa-yasser-03a691327?utm_source=share&amp;utm_campaign=share_via&amp;utm_content=profile&amp;utm_medium=android_app")</f>
        <v>https://www.linkedin.com/in/mostafa-yasser-03a691327?utm_source=share&amp;utm_campaign=share_via&amp;utm_content=profile&amp;utm_medium=android_app</v>
      </c>
      <c r="I301" s="1"/>
      <c r="J301" s="1"/>
      <c r="K301" s="1" t="str">
        <f ca="1">IFERROR(__xludf.DUMMYFUNCTION("""COMPUTED_VALUE"""),"Mansoura University")</f>
        <v>Mansoura University</v>
      </c>
      <c r="L301" s="1"/>
      <c r="M301" s="1" t="str">
        <f ca="1">IFERROR(__xludf.DUMMYFUNCTION("""COMPUTED_VALUE"""),"Faculty of Engineering")</f>
        <v>Faculty of Engineering</v>
      </c>
      <c r="N301" s="1"/>
      <c r="O301" s="1" t="str">
        <f ca="1">IFERROR(__xludf.DUMMYFUNCTION("""COMPUTED_VALUE"""),"Prep Year (Engineering students)")</f>
        <v>Prep Year (Engineering students)</v>
      </c>
      <c r="R301" s="1" t="s">
        <v>432</v>
      </c>
    </row>
    <row r="302" spans="1:18">
      <c r="A302" s="1" t="str">
        <f ca="1">IFERROR(__xludf.DUMMYFUNCTION("""COMPUTED_VALUE"""),"Eslam Moheyeldeen")</f>
        <v>Eslam Moheyeldeen</v>
      </c>
      <c r="B302" s="1" t="str">
        <f ca="1">IFERROR(__xludf.DUMMYFUNCTION("""COMPUTED_VALUE"""),"eslamelzamkan685@gmail.com")</f>
        <v>eslamelzamkan685@gmail.com</v>
      </c>
      <c r="C302" s="1">
        <f ca="1">IFERROR(__xludf.DUMMYFUNCTION("""COMPUTED_VALUE"""),201156732771)</f>
        <v>201156732771</v>
      </c>
      <c r="D302" s="1" t="str">
        <f ca="1">IFERROR(__xludf.DUMMYFUNCTION("""COMPUTED_VALUE"""),"شارع ابو علاء")</f>
        <v>شارع ابو علاء</v>
      </c>
      <c r="E302" s="12" t="str">
        <f ca="1">IFERROR(__xludf.DUMMYFUNCTION("""COMPUTED_VALUE"""),"https://www.facebook.com/profile.php?id=100081280830457")</f>
        <v>https://www.facebook.com/profile.php?id=100081280830457</v>
      </c>
      <c r="F302" s="1" t="str">
        <f ca="1">IFERROR(__xludf.DUMMYFUNCTION("""COMPUTED_VALUE"""),"elzamkan")</f>
        <v>elzamkan</v>
      </c>
      <c r="G302" s="12" t="str">
        <f ca="1">IFERROR(__xludf.DUMMYFUNCTION("""COMPUTED_VALUE"""),"https://x.com/Eslam_elzamkan")</f>
        <v>https://x.com/Eslam_elzamkan</v>
      </c>
      <c r="H302" s="12" t="str">
        <f ca="1">IFERROR(__xludf.DUMMYFUNCTION("""COMPUTED_VALUE"""),"https://www.linkedin.com/in/eslam-elzamkan-771071239/")</f>
        <v>https://www.linkedin.com/in/eslam-elzamkan-771071239/</v>
      </c>
      <c r="I302" s="12" t="str">
        <f ca="1">IFERROR(__xludf.DUMMYFUNCTION("""COMPUTED_VALUE"""),"https://github.com/Eslamelzamkan")</f>
        <v>https://github.com/Eslamelzamkan</v>
      </c>
      <c r="J302" s="1"/>
      <c r="K302" s="1" t="str">
        <f ca="1">IFERROR(__xludf.DUMMYFUNCTION("""COMPUTED_VALUE"""),"Other")</f>
        <v>Other</v>
      </c>
      <c r="L302" s="1"/>
      <c r="M302" s="1" t="str">
        <f ca="1">IFERROR(__xludf.DUMMYFUNCTION("""COMPUTED_VALUE"""),"Faculty of Engineering")</f>
        <v>Faculty of Engineering</v>
      </c>
      <c r="N302" s="1"/>
      <c r="O302" s="1" t="str">
        <f ca="1">IFERROR(__xludf.DUMMYFUNCTION("""COMPUTED_VALUE"""),"3rd Year")</f>
        <v>3rd Year</v>
      </c>
      <c r="R302" s="1" t="s">
        <v>433</v>
      </c>
    </row>
    <row r="303" spans="1:1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</sheetData>
  <hyperlinks>
    <hyperlink ref="E1" r:id="rId1" display="http://www.cisteam.org/events/28/register" xr:uid="{00000000-0004-0000-0200-000000000000}"/>
    <hyperlink ref="G1" r:id="rId2" display="http://www.cisteam.org/events/28/register" xr:uid="{00000000-0004-0000-0200-000001000000}"/>
    <hyperlink ref="H1" r:id="rId3" display="http://www.cisteam.org/events/28/register" xr:uid="{00000000-0004-0000-0200-000002000000}"/>
    <hyperlink ref="E3" r:id="rId4" display="https://www.facebook.com/Seham.Mohsen4/" xr:uid="{00000000-0004-0000-0200-000003000000}"/>
    <hyperlink ref="G3" r:id="rId5" display="https://x.com/SehamMohsen8" xr:uid="{00000000-0004-0000-0200-000004000000}"/>
    <hyperlink ref="H3" r:id="rId6" display="http://www.linkedin.com/in/seham-mohsen-5662311b9" xr:uid="{00000000-0004-0000-0200-000005000000}"/>
    <hyperlink ref="I3" r:id="rId7" display="https://github.com/Seham-Mohsen-84" xr:uid="{00000000-0004-0000-0200-000006000000}"/>
    <hyperlink ref="E4" r:id="rId8" display="https://www.facebook.com/profile.php?id=100016123633136&amp;mibextid=ZbWKwL" xr:uid="{00000000-0004-0000-0200-000007000000}"/>
    <hyperlink ref="G4" r:id="rId9" display="https://x.com/ah_tem1?t=-OAmXs-aPCJ4q4y15z8Izg&amp;s=09" xr:uid="{00000000-0004-0000-0200-000008000000}"/>
    <hyperlink ref="H4" r:id="rId10" display="https://www.linkedin.com/in/alihatemali?utm_source=share&amp;utm_campaign=share_via&amp;utm_content=profile&amp;utm_medium=android_app" xr:uid="{00000000-0004-0000-0200-000009000000}"/>
    <hyperlink ref="E5" r:id="rId11" display="https://www.facebook.com/profile.php?id=100058357264284&amp;mibextid=ZbWKwL" xr:uid="{00000000-0004-0000-0200-00000A000000}"/>
    <hyperlink ref="E6" r:id="rId12" display="https://www.facebook.com/share/1E5Z11G964/" xr:uid="{00000000-0004-0000-0200-00000B000000}"/>
    <hyperlink ref="G6" r:id="rId13" display="https://x.com/mazensa3d53?t=d2cgI07LwC6QsOCZ2rPJ0A&amp;s=09" xr:uid="{00000000-0004-0000-0200-00000C000000}"/>
    <hyperlink ref="H6" r:id="rId14" display="https://www.linkedin.com/onboarding/start/open-to-job-opportunity/new/" xr:uid="{00000000-0004-0000-0200-00000D000000}"/>
    <hyperlink ref="I6" r:id="rId15" display="https://github.com/mazin53" xr:uid="{00000000-0004-0000-0200-00000E000000}"/>
    <hyperlink ref="J6" r:id="rId16" display="https://www.behance.net/mazensaad7" xr:uid="{00000000-0004-0000-0200-00000F000000}"/>
    <hyperlink ref="E7" r:id="rId17" display="https://www.facebook.com/share/19R6P34gEP/?mibextid=LQQJ4d" xr:uid="{00000000-0004-0000-0200-000010000000}"/>
    <hyperlink ref="F7" r:id="rId18" display="https://discord.gg/eEqvTVUc" xr:uid="{00000000-0004-0000-0200-000011000000}"/>
    <hyperlink ref="H7" r:id="rId19" display="https://www.linkedin.com/in/kareem-maher-b26981330?utm_source=share&amp;utm_campaign=share_via&amp;utm_content=profile&amp;utm_medium=ios_app" xr:uid="{00000000-0004-0000-0200-000012000000}"/>
    <hyperlink ref="E8" r:id="rId20" display="https://www.facebook.com/share/1AS2K3jEet/" xr:uid="{00000000-0004-0000-0200-000013000000}"/>
    <hyperlink ref="G8" r:id="rId21" display="https://x.com/HananWaleed__?t=MSWFxqHhv6vDP7qET4j0gA&amp;s=09" xr:uid="{00000000-0004-0000-0200-000014000000}"/>
    <hyperlink ref="H8" r:id="rId22" display="https://www.linkedin.com/in/hanan-waleed-a716322b7?utm_source=share&amp;utm_campaign=share_via&amp;utm_content=profile&amp;utm_medium=android_app" xr:uid="{00000000-0004-0000-0200-000015000000}"/>
    <hyperlink ref="I8" r:id="rId23" display="https://github.com/hananwaleed" xr:uid="{00000000-0004-0000-0200-000016000000}"/>
    <hyperlink ref="J8" r:id="rId24" display="https://www.behance.net/hananwaleed2" xr:uid="{00000000-0004-0000-0200-000017000000}"/>
    <hyperlink ref="E9" r:id="rId25" display="https://www.facebook.com/profile.php?id=100035448348057&amp;mibextid=LQQJ4d" xr:uid="{00000000-0004-0000-0200-000018000000}"/>
    <hyperlink ref="G9" r:id="rId26" display="https://x.com/Mohamed15100746" xr:uid="{00000000-0004-0000-0200-000019000000}"/>
    <hyperlink ref="H9" r:id="rId27" display="https://www.linkedin.com/in/mohamed-elbaioumy-2a0b1b234?utm_source=share&amp;utm_campaign=share_via&amp;utm_content=profile&amp;utm_medium=ios_app" xr:uid="{00000000-0004-0000-0200-00001A000000}"/>
    <hyperlink ref="E10" r:id="rId28" display="https://www.facebook.com/youssef.mansour.165470?mibextid=LQQJ4d" xr:uid="{00000000-0004-0000-0200-00001B000000}"/>
    <hyperlink ref="E11" r:id="rId29" display="https://www.facebook.com/share/19sgMJ4oTZ/" xr:uid="{00000000-0004-0000-0200-00001C000000}"/>
    <hyperlink ref="G11" r:id="rId30" display="https://x.com/eman_Mahm0ud4?s=09" xr:uid="{00000000-0004-0000-0200-00001D000000}"/>
    <hyperlink ref="H11" r:id="rId31" display="https://www.linkedin.com/in/eman-mahmoud-a053aa322?utm_source=share&amp;utm_campaign=share_via&amp;utm_content=profile&amp;utm_medium=android_app" xr:uid="{00000000-0004-0000-0200-00001E000000}"/>
    <hyperlink ref="I11" r:id="rId32" display="https://github.com/EmanMahmud0" xr:uid="{00000000-0004-0000-0200-00001F000000}"/>
    <hyperlink ref="J11" r:id="rId33" display="https://www.behance.net/emanmahmoud82" xr:uid="{00000000-0004-0000-0200-000020000000}"/>
    <hyperlink ref="E12" r:id="rId34" display="http://www.facebook.com/esraa.el.tohamii" xr:uid="{00000000-0004-0000-0200-000021000000}"/>
    <hyperlink ref="G12" r:id="rId35" display="https://x.com/esraa_el_tohamy" xr:uid="{00000000-0004-0000-0200-000022000000}"/>
    <hyperlink ref="H12" r:id="rId36" display="http://www.linkedin.com/in/esraaeltohamyy" xr:uid="{00000000-0004-0000-0200-000023000000}"/>
    <hyperlink ref="I12" r:id="rId37" display="https://github.com/esraa-el-tohamii" xr:uid="{00000000-0004-0000-0200-000024000000}"/>
    <hyperlink ref="J12" r:id="rId38" display="https://www.behance.net/sosomostafa1" xr:uid="{00000000-0004-0000-0200-000025000000}"/>
    <hyperlink ref="E13" r:id="rId39" display="http://hhhhhhhg.com/" xr:uid="{00000000-0004-0000-0200-000026000000}"/>
    <hyperlink ref="E14" r:id="rId40" display="http://facebook.com/" xr:uid="{00000000-0004-0000-0200-000027000000}"/>
    <hyperlink ref="G14" r:id="rId41" display="http://x.com/" xr:uid="{00000000-0004-0000-0200-000028000000}"/>
    <hyperlink ref="H14" r:id="rId42" display="http://linkedn.com/" xr:uid="{00000000-0004-0000-0200-000029000000}"/>
    <hyperlink ref="I14" r:id="rId43" display="http://github.com/" xr:uid="{00000000-0004-0000-0200-00002A000000}"/>
    <hyperlink ref="J14" r:id="rId44" display="http://behance.com/" xr:uid="{00000000-0004-0000-0200-00002B000000}"/>
    <hyperlink ref="E15" r:id="rId45" display="https://www.facebook.com/profile.php?id=100058357264284&amp;mibextid=ZbWKwL" xr:uid="{00000000-0004-0000-0200-00002C000000}"/>
    <hyperlink ref="F15" r:id="rId46" display="https://www.facebook.com/profile.php?id=100058357264284&amp;mibextid=ZbWKwL" xr:uid="{00000000-0004-0000-0200-00002D000000}"/>
    <hyperlink ref="E16" r:id="rId47" display="https://www.facebook.com/profile.php?id=100034211852937&amp;mibextid=ZbWKwL" xr:uid="{00000000-0004-0000-0200-00002E000000}"/>
    <hyperlink ref="F16" r:id="rId48" display="https://www.facebook.com/profile.php?id=100034211852937&amp;mibextid=ZbWKwL" xr:uid="{00000000-0004-0000-0200-00002F000000}"/>
    <hyperlink ref="E17" r:id="rId49" display="https://www.facebook.com/gogosadek.ahmed?mibextid=ZbWKwL" xr:uid="{00000000-0004-0000-0200-000030000000}"/>
    <hyperlink ref="H17" r:id="rId50" display="https://www.linkedin.com/in/nagwa-sadek-a67212307?utm_source=share&amp;utm_campaign=share_via&amp;utm_content=profile&amp;utm_medium=android_app" xr:uid="{00000000-0004-0000-0200-000031000000}"/>
    <hyperlink ref="I17" r:id="rId51" display="https://github.com/nagwasadek" xr:uid="{00000000-0004-0000-0200-000032000000}"/>
    <hyperlink ref="E18" r:id="rId52" display="https://www.facebook.com/share/1AgKdTaQEj/" xr:uid="{00000000-0004-0000-0200-000033000000}"/>
    <hyperlink ref="H18" r:id="rId53" display="http://www.linkedin.com/in/rawan-fawzy-rf4" xr:uid="{00000000-0004-0000-0200-000034000000}"/>
    <hyperlink ref="E19" r:id="rId54" display="https://www.facebook.com/share/1BT4jW528k/" xr:uid="{00000000-0004-0000-0200-000035000000}"/>
    <hyperlink ref="G19" r:id="rId55" display="https://x.com/RahmaHosam15562?t=0xemaHjoxTc6cNmEfiYu0g&amp;s=35" xr:uid="{00000000-0004-0000-0200-000036000000}"/>
    <hyperlink ref="H19" r:id="rId56" display="https://www.linkedin.com/in/rahma-hosam-khadam-66b451337/" xr:uid="{00000000-0004-0000-0200-000037000000}"/>
    <hyperlink ref="I19" r:id="rId57" display="https://github.com/Rahma-Hosam" xr:uid="{00000000-0004-0000-0200-000038000000}"/>
    <hyperlink ref="J19" r:id="rId58" display="https://github.com/Rahma-Hosam" xr:uid="{00000000-0004-0000-0200-000039000000}"/>
    <hyperlink ref="E20" r:id="rId59" display="https://www.facebook.com/profile.php?id=61568242142335&amp;mibextid=ZbWKwL" xr:uid="{00000000-0004-0000-0200-00003A000000}"/>
    <hyperlink ref="E21" r:id="rId60" display="https://www.facebook.com/profile.php?id=100072713473161" xr:uid="{00000000-0004-0000-0200-00003B000000}"/>
    <hyperlink ref="E22" r:id="rId61" display="https://www.facebook.com/doha.shadi.1" xr:uid="{00000000-0004-0000-0200-00003C000000}"/>
    <hyperlink ref="H22" r:id="rId62" display="https://www.linkedin.com/in/doha-hussein-5aa88a299?utm_source=share&amp;utm_campaign=share_via&amp;utm_content=profile&amp;utm_medium=android_app" xr:uid="{00000000-0004-0000-0200-00003D000000}"/>
    <hyperlink ref="E23" r:id="rId63" display="https://www.facebook.com/mohamed.elrahll?mibextid=ZbWKwL" xr:uid="{00000000-0004-0000-0200-00003E000000}"/>
    <hyperlink ref="G23" r:id="rId64" display="https://x.com/Mohamed_Elrahll?t=ffVyQ5H43JB_PXzyOAnjPw&amp;s=09" xr:uid="{00000000-0004-0000-0200-00003F000000}"/>
    <hyperlink ref="H23" r:id="rId65" display="https://www.linkedin.com/in/mohamed-elrahl/" xr:uid="{00000000-0004-0000-0200-000040000000}"/>
    <hyperlink ref="I23" r:id="rId66" display="https://github.com/mohamedelrahl" xr:uid="{00000000-0004-0000-0200-000041000000}"/>
    <hyperlink ref="E24" r:id="rId67" display="https://www.facebook.com/profile.php?id=100025329665470&amp;mibextid=LQQJ4d" xr:uid="{00000000-0004-0000-0200-000042000000}"/>
    <hyperlink ref="G24" r:id="rId68" display="https://x.com/mariamm7m?s=21" xr:uid="{00000000-0004-0000-0200-000043000000}"/>
    <hyperlink ref="H24" r:id="rId69" display="https://www.linkedin.com/in/mariam-mansour-73a494330?utm_source=share&amp;utm_campaign=share_via&amp;utm_content=profile&amp;utm_medium=ios_app" xr:uid="{00000000-0004-0000-0200-000044000000}"/>
    <hyperlink ref="E25" r:id="rId70" display="https://facebook.com/" xr:uid="{00000000-0004-0000-0200-000045000000}"/>
    <hyperlink ref="H25" r:id="rId71" display="https://www.linkedin.com/in/mohamednaeem11/" xr:uid="{00000000-0004-0000-0200-000046000000}"/>
    <hyperlink ref="I25" r:id="rId72" display="http://github.com/mohamednaeemm/" xr:uid="{00000000-0004-0000-0200-000047000000}"/>
    <hyperlink ref="E26" r:id="rId73" display="https://www.facebook.com/share/15RVvPZFuz/?mibextid=qi2Omg" xr:uid="{00000000-0004-0000-0200-000048000000}"/>
    <hyperlink ref="G26" r:id="rId74" display="https://x.com/mariamMahmwd" xr:uid="{00000000-0004-0000-0200-000049000000}"/>
    <hyperlink ref="H26" r:id="rId75" display="https://www.linkedin.com/in/mariam-mahmoud-4a4576325?utm_source=share&amp;utm_campaign=share_via&amp;utm_content=profile&amp;utm_medium=android_app" xr:uid="{00000000-0004-0000-0200-00004A000000}"/>
    <hyperlink ref="I26" r:id="rId76" display="https://github.com/mariammahmwd/mariammahmwd" xr:uid="{00000000-0004-0000-0200-00004B000000}"/>
    <hyperlink ref="J26" r:id="rId77" display="https://www.behance.net/mariammahmoud109" xr:uid="{00000000-0004-0000-0200-00004C000000}"/>
    <hyperlink ref="E27" r:id="rId78" display="https://www.facebook.com/profile.php?id=100094448383261&amp;mibextid=ZbWKwL" xr:uid="{00000000-0004-0000-0200-00004D000000}"/>
    <hyperlink ref="G27" r:id="rId79" display="https://x.com/KareemGhan52384?t=WXr4q6czaG_FpjY_CsPvow&amp;s=09" xr:uid="{00000000-0004-0000-0200-00004E000000}"/>
    <hyperlink ref="H27" r:id="rId80" display="https://x.com/KareemGhan52384?t=WXr4q6czaG_FpjY_CsPvow&amp;s=09" xr:uid="{00000000-0004-0000-0200-00004F000000}"/>
    <hyperlink ref="I27" r:id="rId81" display="https://github.com/KareemGhanem0" xr:uid="{00000000-0004-0000-0200-000050000000}"/>
    <hyperlink ref="E28" r:id="rId82" display="https://www.facebook.com/share/19YzHcXVG6/" xr:uid="{00000000-0004-0000-0200-000051000000}"/>
    <hyperlink ref="H28" r:id="rId83" display="https://www.linkedin.com/in/manar-elhabbal-035968317" xr:uid="{00000000-0004-0000-0200-000052000000}"/>
    <hyperlink ref="I28" r:id="rId84" display="https://github.com/PS-Manar-El7abbal" xr:uid="{00000000-0004-0000-0200-000053000000}"/>
    <hyperlink ref="J28" r:id="rId85" display="https://www.behance.net/manarelhabbal" xr:uid="{00000000-0004-0000-0200-000054000000}"/>
    <hyperlink ref="E29" r:id="rId86" display="https://www.facebook.com/mohamedreda.mohamed.921/" xr:uid="{00000000-0004-0000-0200-000055000000}"/>
    <hyperlink ref="H29" r:id="rId87" display="https://www.linkedin.com/in/mohammed--reda" xr:uid="{00000000-0004-0000-0200-000056000000}"/>
    <hyperlink ref="I29" r:id="rId88" display="https://github.com/M0hammed-Reda" xr:uid="{00000000-0004-0000-0200-000057000000}"/>
    <hyperlink ref="E30" r:id="rId89" display="https://www.facebook.com/profile.php?id=100009445209212&amp;mibextid=ZbWKwL" xr:uid="{00000000-0004-0000-0200-000058000000}"/>
    <hyperlink ref="F30" r:id="rId90" display="https://discord.gg/3TtHrNqv" xr:uid="{00000000-0004-0000-0200-000059000000}"/>
    <hyperlink ref="E31" r:id="rId91" display="https://www.facebook.com/ganna.elkhen.77?mibextid=ZbWKwL" xr:uid="{00000000-0004-0000-0200-00005A000000}"/>
    <hyperlink ref="E32" r:id="rId92" display="https://www.facebook.com/share/17sM9Q3WqS/?mibextid=qi2Omg" xr:uid="{00000000-0004-0000-0200-00005B000000}"/>
    <hyperlink ref="H32" r:id="rId93" display="https://www.linkedin.com/in/noor-hussain-b483942b0?utm_source=share&amp;utm_campaign=share_via&amp;utm_content=profile&amp;utm_medium=android_app" xr:uid="{00000000-0004-0000-0200-00005C000000}"/>
    <hyperlink ref="E33" r:id="rId94" display="https://www.facebook.com/rahma.alimo?mibextid=ZbWKwL" xr:uid="{00000000-0004-0000-0200-00005D000000}"/>
    <hyperlink ref="G33" r:id="rId95" display="https://x.com/medoria565771?t=PDctazARFsJnwwgAPH4KBw&amp;s=08" xr:uid="{00000000-0004-0000-0200-00005E000000}"/>
    <hyperlink ref="H33" r:id="rId96" display="https://www.linkedin.com/in/rahma-alimoo-0842012b7?utm_source=share&amp;utm_campaign=share_via&amp;utm_content=profile&amp;utm_medium=android_app" xr:uid="{00000000-0004-0000-0200-00005F000000}"/>
    <hyperlink ref="E34" r:id="rId97" display="https://www.facebook.com/mena.gamal.927543?mibextid=ZbWKwL" xr:uid="{00000000-0004-0000-0200-000060000000}"/>
    <hyperlink ref="H34" r:id="rId98" display="https://www.linkedin.com/in/menna-gamal-9856bb293?utm_source=share&amp;utm_campaign=share_via&amp;utm_content=profile&amp;utm_medium=android_app" xr:uid="{00000000-0004-0000-0200-000061000000}"/>
    <hyperlink ref="E35" r:id="rId99" display="https://www.facebook.com/profile.php?id=100073407006447&amp;mibextid=kFxxJD" xr:uid="{00000000-0004-0000-0200-000062000000}"/>
    <hyperlink ref="H35" r:id="rId100" display="https://www.linkedin.com/in/khadija-shahien-997581325?utm_source=share&amp;utm_campaign=share_via&amp;utm_content=profile&amp;utm_medium=android_app" xr:uid="{00000000-0004-0000-0200-000063000000}"/>
    <hyperlink ref="I35" r:id="rId101" display="https://github.com/dija404" xr:uid="{00000000-0004-0000-0200-000064000000}"/>
    <hyperlink ref="E36" r:id="rId102" display="https://www.facebook.com/share/19X7SUwkQ8/" xr:uid="{00000000-0004-0000-0200-000065000000}"/>
    <hyperlink ref="E37" r:id="rId103" display="https://www.facebook.com/profile.php?id=100063549968094&amp;mibextid=ZbWKwL" xr:uid="{00000000-0004-0000-0200-000066000000}"/>
    <hyperlink ref="H37" r:id="rId104" display="https://www.linkedin.com/in/rewan-mostafa-39b125267?utm_source=share&amp;utm_campaign=share_via&amp;utm_content=profile&amp;utm_medium=android_app" xr:uid="{00000000-0004-0000-0200-000067000000}"/>
    <hyperlink ref="E38" r:id="rId105" display="https://www.facebook.com/samah.samy.961556" xr:uid="{00000000-0004-0000-0200-000068000000}"/>
    <hyperlink ref="E39" r:id="rId106" display="https://www.facebook.com/profile.php?id=100005030685692&amp;mibextid=ZbWKwL" xr:uid="{00000000-0004-0000-0200-000069000000}"/>
    <hyperlink ref="F39" r:id="rId107" display="https://m.twitch.tv/m10fahmy/home" xr:uid="{00000000-0004-0000-0200-00006A000000}"/>
    <hyperlink ref="G39" r:id="rId108" display="https://x.com/Mohamed45313034" xr:uid="{00000000-0004-0000-0200-00006B000000}"/>
    <hyperlink ref="H39" r:id="rId109" display="https://www.linkedin.com/in/mohamed-fahmy-784ba3331?utm_source=share&amp;utm_campaign=share_via&amp;utm_content=profile&amp;utm_medium=android_app" xr:uid="{00000000-0004-0000-0200-00006C000000}"/>
    <hyperlink ref="I39" r:id="rId110" display="https://github.com/fahmyyyyy" xr:uid="{00000000-0004-0000-0200-00006D000000}"/>
    <hyperlink ref="J39" r:id="rId111" display="https://www.behance.net/mohamedfahmy78" xr:uid="{00000000-0004-0000-0200-00006E000000}"/>
    <hyperlink ref="E40" r:id="rId112" display="https://www.facebook.com/malak.elgizawy.39?mibextid=ZbWKwL" xr:uid="{00000000-0004-0000-0200-00006F000000}"/>
    <hyperlink ref="F40" r:id="rId113" display="https://discord.gg/yp8P9kFc" xr:uid="{00000000-0004-0000-0200-000070000000}"/>
    <hyperlink ref="G40" r:id="rId114" display="https://www.facebook.com/malak.elgizawy.39?mibextid=ZbWKwL" xr:uid="{00000000-0004-0000-0200-000071000000}"/>
    <hyperlink ref="H40" r:id="rId115" display="https://www.linkedin.com/in/malak-elgizawy-356020329?utm_source=share&amp;utm_campaign=share_via&amp;utm_content=profile&amp;utm_medium=android_app" xr:uid="{00000000-0004-0000-0200-000072000000}"/>
    <hyperlink ref="E41" r:id="rId116" display="https://www.facebook.com/yomnaa.alyy.01?mibextid=ZbWKwL" xr:uid="{00000000-0004-0000-0200-000073000000}"/>
    <hyperlink ref="F41" r:id="rId117" display="https://discord.gg/c6ye48aj" xr:uid="{00000000-0004-0000-0200-000074000000}"/>
    <hyperlink ref="H41" r:id="rId118" display="https://www.linkedin.com/in/yomna-aly-4a36b3291?utm_source=share&amp;utm_campaign=share_via&amp;utm_content=profile&amp;utm_medium=android_app" xr:uid="{00000000-0004-0000-0200-000075000000}"/>
    <hyperlink ref="J41" r:id="rId119" display="https://www.behance.net/yomnaaly80ff81" xr:uid="{00000000-0004-0000-0200-000076000000}"/>
    <hyperlink ref="E42" r:id="rId120" display="https://www.facebook.com/share/19HzgxDv7A/" xr:uid="{00000000-0004-0000-0200-000077000000}"/>
    <hyperlink ref="E43" r:id="rId121" display="https://www.facebook.com/zyad.ashraf.14811" xr:uid="{00000000-0004-0000-0200-000078000000}"/>
    <hyperlink ref="H43" r:id="rId122" display="https://www.linkedin.com/in/z-ash/" xr:uid="{00000000-0004-0000-0200-000079000000}"/>
    <hyperlink ref="I43" r:id="rId123" display="https://github.com/Z-Ash0" xr:uid="{00000000-0004-0000-0200-00007A000000}"/>
    <hyperlink ref="E44" r:id="rId124" display="https://www.facebook.com/profile.php?id=61554938321177&amp;mibextid=ZbWKwL" xr:uid="{00000000-0004-0000-0200-00007B000000}"/>
    <hyperlink ref="H44" r:id="rId125" display="https://www.linkedin.com/in/yasmin-yaser-139885294?utm_source=share&amp;utm_campaign=share_via&amp;utm_content=profile&amp;utm_medium=android_app" xr:uid="{00000000-0004-0000-0200-00007C000000}"/>
    <hyperlink ref="E45" r:id="rId126" display="https://www.facebook.com/share/19kByATVTa/" xr:uid="{00000000-0004-0000-0200-00007D000000}"/>
    <hyperlink ref="F45" r:id="rId127" display="https://www.facebook.com/share/19kByATVTa/" xr:uid="{00000000-0004-0000-0200-00007E000000}"/>
    <hyperlink ref="E46" r:id="rId128" display="https://www.facebook.com/fares.ghandour.3?mibextid=LQQJ4d" xr:uid="{00000000-0004-0000-0200-00007F000000}"/>
    <hyperlink ref="H46" r:id="rId129" display="https://www.linkedin.com/in/fares-ghandour-29039a25b?utm_source=share&amp;utm_campaign=share_via&amp;utm_content=profile&amp;utm_medium=ios_app" xr:uid="{00000000-0004-0000-0200-000080000000}"/>
    <hyperlink ref="I46" r:id="rId130" display="https://github.com/Fares-7" xr:uid="{00000000-0004-0000-0200-000081000000}"/>
    <hyperlink ref="E47" r:id="rId131" display="https://www.facebook.com/Griezmaannn" xr:uid="{00000000-0004-0000-0200-000082000000}"/>
    <hyperlink ref="H47" r:id="rId132" display="https://www.linkedin.com/in/omar-74737b308?utm_source=share&amp;utm_campaign=share_via&amp;utm_content=profile&amp;utm_medium=android_app" xr:uid="{00000000-0004-0000-0200-000083000000}"/>
    <hyperlink ref="I47" r:id="rId133" display="https://github.com/omarfathy7" xr:uid="{00000000-0004-0000-0200-000084000000}"/>
    <hyperlink ref="E48" r:id="rId134" display="https://www.facebook.com/profile.php?id=61553626693990&amp;mibextid=LQQJ4d" xr:uid="{00000000-0004-0000-0200-000085000000}"/>
    <hyperlink ref="E49" r:id="rId135" display="https://www.facebook.com/profile.php?id=100025987223087" xr:uid="{00000000-0004-0000-0200-000086000000}"/>
    <hyperlink ref="H49" r:id="rId136" display="https://www.linkedin.com/in/ahmed-emad-037202320?trk=contact-info" xr:uid="{00000000-0004-0000-0200-000087000000}"/>
    <hyperlink ref="I49" r:id="rId137" display="https://github.com/Master-Heat" xr:uid="{00000000-0004-0000-0200-000088000000}"/>
    <hyperlink ref="E50" r:id="rId138" display="https://www.facebook.com/m.m.elshabrawy" xr:uid="{00000000-0004-0000-0200-000089000000}"/>
    <hyperlink ref="G50" r:id="rId139" display="http://not.com/" xr:uid="{00000000-0004-0000-0200-00008A000000}"/>
    <hyperlink ref="H50" r:id="rId140" display="https://www.linkedin.com/in/m7med-elshabrawy-9869482b6?utm_source=share&amp;utm_campaign=share_via&amp;utm_content=profile&amp;utm_medium=ios_app" xr:uid="{00000000-0004-0000-0200-00008B000000}"/>
    <hyperlink ref="E51" r:id="rId141" display="https://www.facebook.com/profile.php?id=100063549968094&amp;mibextid=ZbWKwL" xr:uid="{00000000-0004-0000-0200-00008C000000}"/>
    <hyperlink ref="H51" r:id="rId142" display="https://www.linkedin.com/in/rewan-mostafa-39b125267?utm_source=share&amp;utm_campaign=share_via&amp;utm_content=profile&amp;utm_medium=android_app" xr:uid="{00000000-0004-0000-0200-00008D000000}"/>
    <hyperlink ref="E52" r:id="rId143" display="https://www.facebook.com/profile.php?id=100073347042961&amp;mibextid=ZbWKwL" xr:uid="{00000000-0004-0000-0200-00008E000000}"/>
    <hyperlink ref="H52" r:id="rId144" display="https://www.linkedin.com/in/mahmoud-yahia-7a5514293/" xr:uid="{00000000-0004-0000-0200-00008F000000}"/>
    <hyperlink ref="I52" r:id="rId145" display="https://github.com/tahayahia" xr:uid="{00000000-0004-0000-0200-000090000000}"/>
    <hyperlink ref="E53" r:id="rId146" display="https://web.facebook.com/profile.php?id=100011779478503&amp;locale=ar_AR" xr:uid="{00000000-0004-0000-0200-000091000000}"/>
    <hyperlink ref="G53" r:id="rId147" display="https://x.com/MouhammedD94174" xr:uid="{00000000-0004-0000-0200-000092000000}"/>
    <hyperlink ref="H53" r:id="rId148" display="https://www.linkedin.com/in/doha-mohammed-a64a14305/" xr:uid="{00000000-0004-0000-0200-000093000000}"/>
    <hyperlink ref="I53" r:id="rId149" display="https://github.com/Dohamouhammed" xr:uid="{00000000-0004-0000-0200-000094000000}"/>
    <hyperlink ref="J53" r:id="rId150" display="https://www.behance.net/dohamouhammed" xr:uid="{00000000-0004-0000-0200-000095000000}"/>
    <hyperlink ref="E54" r:id="rId151" display="https://www.facebook.com/profile.php?id=100094600424082&amp;mibextid=ZbWKwL" xr:uid="{00000000-0004-0000-0200-000096000000}"/>
    <hyperlink ref="F54" r:id="rId152" display="https://www.facebook.com/profile.php?id=100094600424082&amp;mibextid=ZbWKwL" xr:uid="{00000000-0004-0000-0200-000097000000}"/>
    <hyperlink ref="G54" r:id="rId153" display="https://www.facebook.com/share/v/Z8bWjgzjm3iN4mXK/" xr:uid="{00000000-0004-0000-0200-000098000000}"/>
    <hyperlink ref="H54" r:id="rId154" display="https://www.linkedin.com/in/doaa-elhussein-27746a318?utm_source=share&amp;utm_campaign=share_via&amp;utm_content=profile&amp;utm_medium=android_app" xr:uid="{00000000-0004-0000-0200-000099000000}"/>
    <hyperlink ref="I54" r:id="rId155" display="https://www.facebook.com/share/v/Z8bWjgzjm3iN4mXK/" xr:uid="{00000000-0004-0000-0200-00009A000000}"/>
    <hyperlink ref="J54" r:id="rId156" display="https://www.facebook.com/share/v/Z8bWjgzjm3iN4mXK/" xr:uid="{00000000-0004-0000-0200-00009B000000}"/>
    <hyperlink ref="E55" r:id="rId157" display="https://www.facebook.com/profile.php?id=100089930238963" xr:uid="{00000000-0004-0000-0200-00009C000000}"/>
    <hyperlink ref="H55" r:id="rId158" display="https://www.linkedin.com/in/mohamed-emad-6a0b07318/" xr:uid="{00000000-0004-0000-0200-00009D000000}"/>
    <hyperlink ref="I55" r:id="rId159" display="https://github.com/M-Emad1" xr:uid="{00000000-0004-0000-0200-00009E000000}"/>
    <hyperlink ref="E56" r:id="rId160" display="https://www.facebook.com/profile.php?id=100021765512941&amp;mibextid=ZbWKwL" xr:uid="{00000000-0004-0000-0200-00009F000000}"/>
    <hyperlink ref="F56" r:id="rId161" display="https://www.facebook.com/profile.php?id=100021765512941&amp;mibextid=ZbWKwL" xr:uid="{00000000-0004-0000-0200-0000A0000000}"/>
    <hyperlink ref="H56" r:id="rId162" display="https://www.linkedin.com/in/yasmen-mohamed-041859323?utm_source=share&amp;utm_campaign=share_via&amp;utm_content=profile&amp;utm_medium=android_app" xr:uid="{00000000-0004-0000-0200-0000A1000000}"/>
    <hyperlink ref="I56" r:id="rId163" display="https://github.com/yasminm0hamed/Git_raining" xr:uid="{00000000-0004-0000-0200-0000A2000000}"/>
    <hyperlink ref="E57" r:id="rId164" display="https://www.facebook.com/sama.yaseen.167?mibextid=ZbWKwL" xr:uid="{00000000-0004-0000-0200-0000A3000000}"/>
    <hyperlink ref="G57" r:id="rId165" display="https://x.com/samayaseen61100?t=-QUZlQgC1K8JRj2tFQAi3g&amp;s=09" xr:uid="{00000000-0004-0000-0200-0000A4000000}"/>
    <hyperlink ref="H57" r:id="rId166" display="https://www.linkedin.com/in/sama-yaseen-54ba3432a?utm_source=share&amp;utm_campaign=share_via&amp;utm_content=profile&amp;utm_medium=android_app" xr:uid="{00000000-0004-0000-0200-0000A5000000}"/>
    <hyperlink ref="E58" r:id="rId167" display="https://www.facebook.com/profile.php?id=100009060334855&amp;mibextid=ZbWKwL" xr:uid="{00000000-0004-0000-0200-0000A6000000}"/>
    <hyperlink ref="F58" r:id="rId168" display="https://www.facebook.com/profile.php?id=100009060334855&amp;mibextid=ZbWKwL" xr:uid="{00000000-0004-0000-0200-0000A7000000}"/>
    <hyperlink ref="G58" r:id="rId169" display="https://www.facebook.com/profile.php?id=100009060334855&amp;mibextid=ZbWKwL" xr:uid="{00000000-0004-0000-0200-0000A8000000}"/>
    <hyperlink ref="H58" r:id="rId170" display="https://www.facebook.com/profile.php?id=100009060334855&amp;mibextid=ZbWKwL" xr:uid="{00000000-0004-0000-0200-0000A9000000}"/>
    <hyperlink ref="E59" r:id="rId171" display="https://www.facebook.com/profile.php?id=100057069222022&amp;locale=ar_AR" xr:uid="{00000000-0004-0000-0200-0000AA000000}"/>
    <hyperlink ref="F59" r:id="rId172" display="https://discord.com/channels/@me" xr:uid="{00000000-0004-0000-0200-0000AB000000}"/>
    <hyperlink ref="H59" r:id="rId173" display="https://www.linkedin.com/in/mahmoud-ayman-7126482a2/" xr:uid="{00000000-0004-0000-0200-0000AC000000}"/>
    <hyperlink ref="J59" r:id="rId174" display="https://www.behance.net/mahmoudaymann" xr:uid="{00000000-0004-0000-0200-0000AD000000}"/>
    <hyperlink ref="E60" r:id="rId175" display="https://www.facebook.com/menna.amin.9256?mibextid=ZbWKwL" xr:uid="{00000000-0004-0000-0200-0000AE000000}"/>
    <hyperlink ref="G60" r:id="rId176" display="https://www.facebook.com/profile.php?id=61564130426071&amp;mibextid=ZbWKwL" xr:uid="{00000000-0004-0000-0200-0000AF000000}"/>
    <hyperlink ref="H60" r:id="rId177" display="https://www.linkedin.com/in/menna-amin-226a84329?utm_source=share&amp;utm_campaign=share_via&amp;utm_content=profile&amp;utm_medium=android_app" xr:uid="{00000000-0004-0000-0200-0000B0000000}"/>
    <hyperlink ref="E61" r:id="rId178" display="https://www.facebook.com/profile.php?id=100064978765314&amp;mibextid=ZbWKwL" xr:uid="{00000000-0004-0000-0200-0000B1000000}"/>
    <hyperlink ref="F61" r:id="rId179" display="https://discord.com/accessibility" xr:uid="{00000000-0004-0000-0200-0000B2000000}"/>
    <hyperlink ref="E62" r:id="rId180" display="https://www.facebook.com/medowaleed15?locale=ar_AR" xr:uid="{00000000-0004-0000-0200-0000B3000000}"/>
    <hyperlink ref="H62" r:id="rId181" display="http://www.linkedin.com/in/mohamed-waleed-79b12224b" xr:uid="{00000000-0004-0000-0200-0000B4000000}"/>
    <hyperlink ref="E63" r:id="rId182" display="https://www.facebook.com/share/14haxRTehW/" xr:uid="{00000000-0004-0000-0200-0000B5000000}"/>
    <hyperlink ref="E64" r:id="rId183" display="https://www.facebook.com/yasmeen.elmesiry?mibextid=ZbWKwL" xr:uid="{00000000-0004-0000-0200-0000B6000000}"/>
    <hyperlink ref="G64" r:id="rId184" display="https://x.com/yvsmonvvvv?t=X0VBPYq6nZlzpHvSL1Go9g&amp;s=08" xr:uid="{00000000-0004-0000-0200-0000B7000000}"/>
    <hyperlink ref="E65" r:id="rId185" display="https://www.facebook.com/zeiad.gamal.167" xr:uid="{00000000-0004-0000-0200-0000B8000000}"/>
    <hyperlink ref="G65" r:id="rId186" display="https://x.com/zeiad_39?t=L1zxSLBvNE0q5a7wKk8SPA&amp;s=09" xr:uid="{00000000-0004-0000-0200-0000B9000000}"/>
    <hyperlink ref="H65" r:id="rId187" display="http://www.linkedin.com/in/zeiad-gamal-7b8240248" xr:uid="{00000000-0004-0000-0200-0000BA000000}"/>
    <hyperlink ref="I65" r:id="rId188" display="https://github.com/ZeiadGamalSaad" xr:uid="{00000000-0004-0000-0200-0000BB000000}"/>
    <hyperlink ref="E66" r:id="rId189" display="https://www.facebook.com/profile.php?id=61568331659242&amp;mibextid=ZbWKwL" xr:uid="{00000000-0004-0000-0200-0000BC000000}"/>
    <hyperlink ref="E67" r:id="rId190" display="https://www.facebook.com/profile.php?id=100035618687250" xr:uid="{00000000-0004-0000-0200-0000BD000000}"/>
    <hyperlink ref="G67" r:id="rId191" display="https://x.com/Youssefsleem24" xr:uid="{00000000-0004-0000-0200-0000BE000000}"/>
    <hyperlink ref="H67" r:id="rId192" display="https://www.linkedin.com/in/youssef-sleem-432b52297?utm_source=share&amp;utm_campaign=share_via&amp;utm_content=profile&amp;utm_medium=ios_app" xr:uid="{00000000-0004-0000-0200-0000BF000000}"/>
    <hyperlink ref="E68" r:id="rId193" display="https://www.facebook.com/alaa.nasr.39904?mibextid=ZbWKwL" xr:uid="{00000000-0004-0000-0200-0000C0000000}"/>
    <hyperlink ref="F68" r:id="rId194" display="https://discordapp.com/users/1210715414099660842" xr:uid="{00000000-0004-0000-0200-0000C1000000}"/>
    <hyperlink ref="G68" r:id="rId195" display="https://x.com/Alaa_nassr1?s=09" xr:uid="{00000000-0004-0000-0200-0000C2000000}"/>
    <hyperlink ref="H68" r:id="rId196" display="https://www.linkedin.com/in/alaa-nasr-321387324?utm_source=share&amp;utm_campaign=share_via&amp;utm_content=profile&amp;utm_medium=android_app" xr:uid="{00000000-0004-0000-0200-0000C3000000}"/>
    <hyperlink ref="E69" r:id="rId197" display="https://www.facebook.com/share/15W1utqZqS/" xr:uid="{00000000-0004-0000-0200-0000C4000000}"/>
    <hyperlink ref="E70" r:id="rId198" display="https://www.facebook.com/profile.php?id=100010962244392&amp;mibextid=ZbWKwL" xr:uid="{00000000-0004-0000-0200-0000C5000000}"/>
    <hyperlink ref="G70" r:id="rId199" display="https://x.com/prog_mg" xr:uid="{00000000-0004-0000-0200-0000C6000000}"/>
    <hyperlink ref="H70" r:id="rId200" display="https://www.linkedin.com/in/%D0%BC%CF%83%D0%BD%CE%B1%D0%BC%D1%94%C9%92-%C9%A2%CE%B1%D0%BC%CE%B1l-a3355731b/overlay/about-this-profile/?lipi=urn%3Ali%3Apage%3Ad_flagship3_profile_view_base%3BdWGQCnViQpS%2FEhAWyv9JVA%3D%3D" xr:uid="{00000000-0004-0000-0200-0000C7000000}"/>
    <hyperlink ref="I70" r:id="rId201" display="https://github.com/mogamal-ui" xr:uid="{00000000-0004-0000-0200-0000C8000000}"/>
    <hyperlink ref="E71" r:id="rId202" display="https://www.facebook.com/profile.php?id=61552702670893" xr:uid="{00000000-0004-0000-0200-0000C9000000}"/>
    <hyperlink ref="H71" r:id="rId203" display="https://www.linkedin.com/in/youssef-mohammed-6893a031b/" xr:uid="{00000000-0004-0000-0200-0000CA000000}"/>
    <hyperlink ref="I71" r:id="rId204" display="https://github.com/YoussefMohammed93" xr:uid="{00000000-0004-0000-0200-0000CB000000}"/>
    <hyperlink ref="E72" r:id="rId205" display="https://www.facebook.com/profile.php?id=100007322474957" xr:uid="{00000000-0004-0000-0200-0000CC000000}"/>
    <hyperlink ref="E73" r:id="rId206" display="https://www.facebook.com/fares.maaty.1" xr:uid="{00000000-0004-0000-0200-0000CD000000}"/>
    <hyperlink ref="G73" r:id="rId207" display="https://x.com/fares_maaty" xr:uid="{00000000-0004-0000-0200-0000CE000000}"/>
    <hyperlink ref="H73" r:id="rId208" display="https://www.linkedin.com/in/fares-maaty-289a46296?utm_source=share&amp;utm_campaign=share_via&amp;utm_content=profile&amp;utm_medium=android_app" xr:uid="{00000000-0004-0000-0200-0000CF000000}"/>
    <hyperlink ref="E74" r:id="rId209" display="https://www.facebook.com/profile.php?id=100013319706304" xr:uid="{00000000-0004-0000-0200-0000D0000000}"/>
    <hyperlink ref="H74" r:id="rId210" display="http://www.linkedin.com/in/fares-ayman-a213552b2" xr:uid="{00000000-0004-0000-0200-0000D1000000}"/>
    <hyperlink ref="I74" r:id="rId211" display="https://github.com/faresayma" xr:uid="{00000000-0004-0000-0200-0000D2000000}"/>
    <hyperlink ref="E75" r:id="rId212" display="https://www.facebook.com/yasmin.hussein.3745?mibextid=ZbWKwL" xr:uid="{00000000-0004-0000-0200-0000D3000000}"/>
    <hyperlink ref="G75" r:id="rId213" display="https://x.com/YasminH47766234?t=tIDbdasvaOV7kbZE2NLBbA&amp;s=09" xr:uid="{00000000-0004-0000-0200-0000D4000000}"/>
    <hyperlink ref="H75" r:id="rId214" display="https://www.linkedin.com/in/yasmin-hussein-aa4a89332?utm_source=share&amp;utm_campaign=share_via&amp;utm_content=profile&amp;utm_medium=android_app" xr:uid="{00000000-0004-0000-0200-0000D5000000}"/>
    <hyperlink ref="I75" r:id="rId215" display="https://github.com/Yasminhussein80" xr:uid="{00000000-0004-0000-0200-0000D6000000}"/>
    <hyperlink ref="J75" r:id="rId216" display="https://www.behance.net/yasminhussein9" xr:uid="{00000000-0004-0000-0200-0000D7000000}"/>
    <hyperlink ref="E76" r:id="rId217" display="https://www.facebook.com/shireen.mohamed.944?mibextid=JRoKGi" xr:uid="{00000000-0004-0000-0200-0000D8000000}"/>
    <hyperlink ref="F76" r:id="rId218" display="https://support.discord.com/hc/en-us/community/topics" xr:uid="{00000000-0004-0000-0200-0000D9000000}"/>
    <hyperlink ref="E77" r:id="rId219" display="https://www.facebook.com/share/1Cuvk22cQ9/" xr:uid="{00000000-0004-0000-0200-0000DA000000}"/>
    <hyperlink ref="G77" r:id="rId220" display="https://x.com/NaderYousr23509?t=wxOciGaa6QZEjff7HCn8IA&amp;s=08" xr:uid="{00000000-0004-0000-0200-0000DB000000}"/>
    <hyperlink ref="H77" r:id="rId221" display="https://www.linkedin.com/in/yousra-nader-5b4557318?utm_source=share&amp;utm_campaign=share_via&amp;utm_content=profile&amp;utm_medium=android_app" xr:uid="{00000000-0004-0000-0200-0000DC000000}"/>
    <hyperlink ref="I77" r:id="rId222" display="https://github.com/yousra137" xr:uid="{00000000-0004-0000-0200-0000DD000000}"/>
    <hyperlink ref="J77" r:id="rId223" display="https://www.behance.net/yousranader" xr:uid="{00000000-0004-0000-0200-0000DE000000}"/>
    <hyperlink ref="E78" r:id="rId224" display="https://www.facebook.com/profile.php?id=100017036108807&amp;mibextid=ZbWKwL" xr:uid="{00000000-0004-0000-0200-0000DF000000}"/>
    <hyperlink ref="G78" r:id="rId225" display="https://x.com/EssamNoorr26507?t=jKwWMlx7Lv58NIpGyVjKEw&amp;s=09" xr:uid="{00000000-0004-0000-0200-0000E0000000}"/>
    <hyperlink ref="H78" r:id="rId226" display="https://www.linkedin.com/in/noor-essam-6b554932a?utm_source=share&amp;utm_campaign=share_via&amp;utm_content=profile&amp;utm_medium=android_app" xr:uid="{00000000-0004-0000-0200-0000E1000000}"/>
    <hyperlink ref="I78" r:id="rId227" display="https://github.com/Noor-cmd-star" xr:uid="{00000000-0004-0000-0200-0000E2000000}"/>
    <hyperlink ref="J78" r:id="rId228" display="https://www.behance.net/nooressam6" xr:uid="{00000000-0004-0000-0200-0000E3000000}"/>
    <hyperlink ref="E79" r:id="rId229" display="https://www.facebook.com/IIMenshawz" xr:uid="{00000000-0004-0000-0200-0000E4000000}"/>
    <hyperlink ref="G79" r:id="rId230" display="https://x.com/iiMenshawi" xr:uid="{00000000-0004-0000-0200-0000E5000000}"/>
    <hyperlink ref="H79" r:id="rId231" display="https://www.linkedin.com/in/mohamed-el-menshawi-6b2a2928b/" xr:uid="{00000000-0004-0000-0200-0000E6000000}"/>
    <hyperlink ref="I79" r:id="rId232" display="https://github.com/IIMenshawz" xr:uid="{00000000-0004-0000-0200-0000E7000000}"/>
    <hyperlink ref="J79" r:id="rId233" display="https://www.behance.net/ii_menshawz" xr:uid="{00000000-0004-0000-0200-0000E8000000}"/>
    <hyperlink ref="E80" r:id="rId234" display="https://www.facebook.com/profile.php?viewas=100000686899395&amp;id=100008977024211" xr:uid="{00000000-0004-0000-0200-0000E9000000}"/>
    <hyperlink ref="G80" r:id="rId235" display="https://x.com/home?lang=en" xr:uid="{00000000-0004-0000-0200-0000EA000000}"/>
    <hyperlink ref="H80" r:id="rId236" display="https://www.linkedin.com/in/reda-saad-570683269/" xr:uid="{00000000-0004-0000-0200-0000EB000000}"/>
    <hyperlink ref="I80" r:id="rId237" display="https://github.com/redasaad123" xr:uid="{00000000-0004-0000-0200-0000EC000000}"/>
    <hyperlink ref="J80" r:id="rId238" display="https://www.behance.net/redesaad" xr:uid="{00000000-0004-0000-0200-0000ED000000}"/>
    <hyperlink ref="E81" r:id="rId239" display="https://www.facebook.com/profile.php?id=61558184180247" xr:uid="{00000000-0004-0000-0200-0000EE000000}"/>
    <hyperlink ref="H81" r:id="rId240" display="https://www.linkedin.com/in/mohamed-eldeeb-a24676293/" xr:uid="{00000000-0004-0000-0200-0000EF000000}"/>
    <hyperlink ref="E82" r:id="rId241" display="https://www.facebook.com/YassinnGouda/" xr:uid="{00000000-0004-0000-0200-0000F0000000}"/>
    <hyperlink ref="G82" r:id="rId242" display="https://x.com/yassin_gouda" xr:uid="{00000000-0004-0000-0200-0000F1000000}"/>
    <hyperlink ref="H82" r:id="rId243" display="https://www.linkedin.com/in/yassin-gouda-92a5b1306/" xr:uid="{00000000-0004-0000-0200-0000F2000000}"/>
    <hyperlink ref="I82" r:id="rId244" display="https://github.com/YasinGouda" xr:uid="{00000000-0004-0000-0200-0000F3000000}"/>
    <hyperlink ref="J82" r:id="rId245" display="https://www.behance.net/yassingouda" xr:uid="{00000000-0004-0000-0200-0000F4000000}"/>
    <hyperlink ref="E83" r:id="rId246" display="https://www.facebook.com/rokia.elgiar?mibextid=kFxxJD" xr:uid="{00000000-0004-0000-0200-0000F5000000}"/>
    <hyperlink ref="E84" r:id="rId247" display="https://www.facebook.com/profile.php?id=100059549854157&amp;mibextid=ZbWKwL" xr:uid="{00000000-0004-0000-0200-0000F6000000}"/>
    <hyperlink ref="E85" r:id="rId248" display="https://facebook.com/saranabih" xr:uid="{00000000-0004-0000-0200-0000F7000000}"/>
    <hyperlink ref="G85" r:id="rId249" display="https://x.com/saranabih187220" xr:uid="{00000000-0004-0000-0200-0000F8000000}"/>
    <hyperlink ref="H85" r:id="rId250" display="https://www.linkedin.com/in/sara-nabih-4168212a3/" xr:uid="{00000000-0004-0000-0200-0000F9000000}"/>
    <hyperlink ref="I85" r:id="rId251" display="https://github.com/saraanbih" xr:uid="{00000000-0004-0000-0200-0000FA000000}"/>
    <hyperlink ref="E86" r:id="rId252" display="https://www.facebook.com/profile.php?id=100094708448335" xr:uid="{00000000-0004-0000-0200-0000FB000000}"/>
    <hyperlink ref="J86" r:id="rId253" display="https://www.behance.net/ahmedadel898" xr:uid="{00000000-0004-0000-0200-0000FC000000}"/>
    <hyperlink ref="E87" r:id="rId254" display="https://www.facebook.com/profile.php?id=100070107522966&amp;mibextid=ZbWKwL" xr:uid="{00000000-0004-0000-0200-0000FD000000}"/>
    <hyperlink ref="H87" r:id="rId255" display="https://www.linkedin.com/in/nagat-elpastawesi-b90320329?utm_source=share&amp;utm_campaign=share_via&amp;utm_content=profile&amp;utm_medium=android_app" xr:uid="{00000000-0004-0000-0200-0000FE000000}"/>
    <hyperlink ref="E88" r:id="rId256" display="https://www.facebook.com/mariam.ayman.92123/" xr:uid="{00000000-0004-0000-0200-0000FF000000}"/>
    <hyperlink ref="E89" r:id="rId257" display="https://www.facebook.com/menna.sarhan.1656?mibextid=ZbWKwL" xr:uid="{00000000-0004-0000-0200-000000010000}"/>
    <hyperlink ref="H89" r:id="rId258" display="https://www.linkedin.com/in/menna-mahmoud-427746336?utm_source=share&amp;utm_campaign=share_via&amp;utm_content=profile&amp;utm_medium=android_app" xr:uid="{00000000-0004-0000-0200-000001010000}"/>
    <hyperlink ref="E90" r:id="rId259" display="https://www.facebook.com/profile.php?id=100011378223499&amp;mibextid=ZbWKwL" xr:uid="{00000000-0004-0000-0200-000002010000}"/>
    <hyperlink ref="H90" r:id="rId260" display="https://www.linkedin.com/in/ahmed-esmaiel-b55918323?utm_source=share&amp;utm_campaign=share_via&amp;utm_content=profile&amp;utm_medium=android_app" xr:uid="{00000000-0004-0000-0200-000003010000}"/>
    <hyperlink ref="I90" r:id="rId261" display="https://github.com/aboesmaiel1" xr:uid="{00000000-0004-0000-0200-000004010000}"/>
    <hyperlink ref="E91" r:id="rId262" display="https://www.facebook.com/profile.php?id=100033554140435&amp;mibextid=ZbWKwL" xr:uid="{00000000-0004-0000-0200-000005010000}"/>
    <hyperlink ref="H91" r:id="rId263" display="https://www.linkedin.com/in/amr-khaled-b856092a3?utm_source=share&amp;utm_campaign=share_via&amp;utm_content=profile&amp;utm_medium=android_app" xr:uid="{00000000-0004-0000-0200-000006010000}"/>
    <hyperlink ref="I91" r:id="rId264" display="https://github.com/amrk111" xr:uid="{00000000-0004-0000-0200-000007010000}"/>
    <hyperlink ref="E92" r:id="rId265" display="https://www.facebook.com/karim.elsayed.773776?mibextid=LQQJ4d" xr:uid="{00000000-0004-0000-0200-000008010000}"/>
    <hyperlink ref="E93" r:id="rId266" display="https://www.facebook.com/profile.php?id=100071633059812&amp;mibextid=ZbWKwL" xr:uid="{00000000-0004-0000-0200-000009010000}"/>
    <hyperlink ref="H93" r:id="rId267" display="https://www.linkedin.com/in/omnia-yasser-a022b9331?utm_source=share&amp;utm_campaign=share_via&amp;utm_content=profile&amp;utm_medium=android_app" xr:uid="{00000000-0004-0000-0200-00000A010000}"/>
    <hyperlink ref="E94" r:id="rId268" display="https://www.facebook.com/profile.php?id=100013513477586&amp;mibextid=ZbWKwL" xr:uid="{00000000-0004-0000-0200-00000B010000}"/>
    <hyperlink ref="H94" r:id="rId269" display="https://www.linkedin.com/in/omar-ayman-62516b2b9?utm_source=share&amp;utm_campaign=share_via&amp;utm_content=profile&amp;utm_medium=android_app" xr:uid="{00000000-0004-0000-0200-00000C010000}"/>
    <hyperlink ref="I94" r:id="rId270" display="https://github.com/Omar-Mans" xr:uid="{00000000-0004-0000-0200-00000D010000}"/>
    <hyperlink ref="E95" r:id="rId271" display="https://www.facebook.com/hamza.nader.7564?mibextid=LQQJ4d" xr:uid="{00000000-0004-0000-0200-00000E010000}"/>
    <hyperlink ref="G95" r:id="rId272" display="https://x.com/hamza_nader10_" xr:uid="{00000000-0004-0000-0200-00000F010000}"/>
    <hyperlink ref="H95" r:id="rId273" display="http://www.linkedin.com/in/hamza-nader-428483337" xr:uid="{00000000-0004-0000-0200-000010010000}"/>
    <hyperlink ref="E96" r:id="rId274" display="https://www.facebook.com/profile.php?id=100009349824383&amp;mibextid=LQQJ4d" xr:uid="{00000000-0004-0000-0200-000011010000}"/>
    <hyperlink ref="G96" r:id="rId275" display="https://x.com/abdallahemish?s=21" xr:uid="{00000000-0004-0000-0200-000012010000}"/>
    <hyperlink ref="H96" r:id="rId276" display="https://www.linkedin.com/in/abdallah-emish-676864282?utm_source=share&amp;utm_campaign=share_via&amp;utm_content=profile&amp;utm_medium=ios_app" xr:uid="{00000000-0004-0000-0200-000013010000}"/>
    <hyperlink ref="I96" r:id="rId277" display="https://github.com/abdallahemish" xr:uid="{00000000-0004-0000-0200-000014010000}"/>
    <hyperlink ref="J96" r:id="rId278" display="https://behance.com/abdallahemish" xr:uid="{00000000-0004-0000-0200-000015010000}"/>
    <hyperlink ref="E97" r:id="rId279" display="https://www.facebook.com/share/19YnMWpSiv/" xr:uid="{00000000-0004-0000-0200-000016010000}"/>
    <hyperlink ref="H97" r:id="rId280" display="https://www.linkedin.com/in/mohamed-magdy-375715294?utm_source=share&amp;utm_campaign=share_via&amp;utm_content=profile&amp;utm_medium=android_app" xr:uid="{00000000-0004-0000-0200-000017010000}"/>
    <hyperlink ref="I97" r:id="rId281" display="https://github.com/MohamedMagdy-203" xr:uid="{00000000-0004-0000-0200-000018010000}"/>
    <hyperlink ref="E98" r:id="rId282" display="https://www.facebook.com/profile.php?id=100077430631214&amp;mibextid=ZbWKwL" xr:uid="{00000000-0004-0000-0200-000019010000}"/>
    <hyperlink ref="F98" r:id="rId283" display="https://discord.gg/A3PMPa9g" xr:uid="{00000000-0004-0000-0200-00001A010000}"/>
    <hyperlink ref="E99" r:id="rId284" display="https://www.facebook.com/Mo3taz00Ezz" xr:uid="{00000000-0004-0000-0200-00001B010000}"/>
    <hyperlink ref="H99" r:id="rId285" display="https://www.linkedin.com/in/mouataz-saleh10/" xr:uid="{00000000-0004-0000-0200-00001C010000}"/>
    <hyperlink ref="I99" r:id="rId286" display="https://github.com/moattaz/Moataz-Saleh" xr:uid="{00000000-0004-0000-0200-00001D010000}"/>
    <hyperlink ref="E100" r:id="rId287" display="https://www.facebook.com/abo.yehia.01?mibextid=ZbWKwL" xr:uid="{00000000-0004-0000-0200-00001E010000}"/>
    <hyperlink ref="H100" r:id="rId288" display="https://www.linkedin.com/in/mohamed-yehia-0a323931b?utm_source=share&amp;utm_campaign=share_via&amp;utm_content=profile&amp;utm_medium=android_app" xr:uid="{00000000-0004-0000-0200-00001F010000}"/>
    <hyperlink ref="I100" r:id="rId289" display="https://github.com/mohamedyehia990/mohamed.git" xr:uid="{00000000-0004-0000-0200-000020010000}"/>
    <hyperlink ref="E101" r:id="rId290" display="https://www.facebook.com/profile.php?id=100084144094358&amp;mibextid=ZbWKwL" xr:uid="{00000000-0004-0000-0200-000021010000}"/>
    <hyperlink ref="F101" r:id="rId291" display="https://discordapp.com/users/1173546523959754772" xr:uid="{00000000-0004-0000-0200-000022010000}"/>
    <hyperlink ref="H101" r:id="rId292" display="https://www.linkedin.com/in/rana-abdelrahman-" xr:uid="{00000000-0004-0000-0200-000023010000}"/>
    <hyperlink ref="I101" r:id="rId293" display="https://github.com/ranaabdelrahman71" xr:uid="{00000000-0004-0000-0200-000024010000}"/>
    <hyperlink ref="E102" r:id="rId294" display="https://www.facebook.com/helmy.hisham.31?mibextid=ZbWKwL" xr:uid="{00000000-0004-0000-0200-000025010000}"/>
    <hyperlink ref="F102" r:id="rId295" display="https://discord.com/channels/@me" xr:uid="{00000000-0004-0000-0200-000026010000}"/>
    <hyperlink ref="H102" r:id="rId296" display="http://www.linkedin.com/in/" xr:uid="{00000000-0004-0000-0200-000027010000}"/>
    <hyperlink ref="J102" r:id="rId297" display="https://www.behance.net/helmyhisham" xr:uid="{00000000-0004-0000-0200-000028010000}"/>
    <hyperlink ref="E103" r:id="rId298" display="https://www.facebook.com/profile.php?id=100017823488115&amp;mibextid=ZbWKwL" xr:uid="{00000000-0004-0000-0200-000029010000}"/>
    <hyperlink ref="F103" r:id="rId299" display="http://linkedin.com/in/fares-aboelnasr-9a335728a" xr:uid="{00000000-0004-0000-0200-00002A010000}"/>
    <hyperlink ref="H103" r:id="rId300" display="http://linkedin.com/in/fares-aboelnasr-9a335728a" xr:uid="{00000000-0004-0000-0200-00002B010000}"/>
    <hyperlink ref="I103" r:id="rId301" display="https://github.com/aboelnasrvip" xr:uid="{00000000-0004-0000-0200-00002C010000}"/>
    <hyperlink ref="E104" r:id="rId302" display="https://www.facebook.com/profile.php?id=100007322474957" xr:uid="{00000000-0004-0000-0200-00002D010000}"/>
    <hyperlink ref="E105" r:id="rId303" display="https://www.facebook.com/mahmoudmira5600" xr:uid="{00000000-0004-0000-0200-00002E010000}"/>
    <hyperlink ref="E106" r:id="rId304" display="https://www.facebook.com/profile.php?id=100076344066376" xr:uid="{00000000-0004-0000-0200-00002F010000}"/>
    <hyperlink ref="G106" r:id="rId305" display="https://x.com/esraamhmd_" xr:uid="{00000000-0004-0000-0200-000030010000}"/>
    <hyperlink ref="H106" r:id="rId306" display="https://www.linkedin.com/in/esraamhmd227/" xr:uid="{00000000-0004-0000-0200-000031010000}"/>
    <hyperlink ref="I106" r:id="rId307" display="https://github.com/esraa277" xr:uid="{00000000-0004-0000-0200-000032010000}"/>
    <hyperlink ref="E107" r:id="rId308" display="https://www.facebook.com/profile.php?id=100049193507428&amp;mibextid=ZbWKwL" xr:uid="{00000000-0004-0000-0200-000033010000}"/>
    <hyperlink ref="E108" r:id="rId309" display="https://www.facebook.com/profile.php?id=100074463285161&amp;mibextid=rS40aB7S9Ucbxw6v" xr:uid="{00000000-0004-0000-0200-000034010000}"/>
    <hyperlink ref="G108" r:id="rId310" display="https://x.com/itsboda_74" xr:uid="{00000000-0004-0000-0200-000035010000}"/>
    <hyperlink ref="H108" r:id="rId311" display="https://www.linkedin.com/in/mohamed-ehab74" xr:uid="{00000000-0004-0000-0200-000036010000}"/>
    <hyperlink ref="I108" r:id="rId312" display="https://github.com/MoEhab74" xr:uid="{00000000-0004-0000-0200-000037010000}"/>
    <hyperlink ref="E109" r:id="rId313" display="https://www.facebook.com/profile.php?id=100008035117559&amp;mibextid=ZbWKwL" xr:uid="{00000000-0004-0000-0200-000038010000}"/>
    <hyperlink ref="G109" r:id="rId314" display="https://x.com/mohamedelmoorsy?t=OlvGaglM1k49zL3lix7XfQ&amp;s=09" xr:uid="{00000000-0004-0000-0200-000039010000}"/>
    <hyperlink ref="H109" r:id="rId315" display="https://www.linkedin.com/in/mohamed-mostafa-625381255" xr:uid="{00000000-0004-0000-0200-00003A010000}"/>
    <hyperlink ref="I109" r:id="rId316" display="https://github.com/Mohamedelmesery2004" xr:uid="{00000000-0004-0000-0200-00003B010000}"/>
    <hyperlink ref="E110" r:id="rId317" display="https://www.facebook.com/profile.php?id=100022101275827&amp;mibextid=ZbWKwL" xr:uid="{00000000-0004-0000-0200-00003C010000}"/>
    <hyperlink ref="G110" r:id="rId318" display="https://x.com/AbdZeyad44593?t=xG0U2YNy1c0BNZMj9hh83Q&amp;s=09" xr:uid="{00000000-0004-0000-0200-00003D010000}"/>
    <hyperlink ref="H110" r:id="rId319" display="https://www.linkedin.com/in/zeyad-mohamed-616869321?utm_source=share&amp;utm_campaign=share_via&amp;utm_content=profile&amp;utm_medium=android_app" xr:uid="{00000000-0004-0000-0200-00003E010000}"/>
    <hyperlink ref="E111" r:id="rId320" display="http://www.facebook.com/" xr:uid="{00000000-0004-0000-0200-00003F010000}"/>
    <hyperlink ref="F111" r:id="rId321" display="http://www.discord.com/" xr:uid="{00000000-0004-0000-0200-000040010000}"/>
    <hyperlink ref="G111" r:id="rId322" display="https://x.com/Mayar_Saber2?t=MBTltCgdszTPAVrEBQRyBw&amp;s=09" xr:uid="{00000000-0004-0000-0200-000041010000}"/>
    <hyperlink ref="H111" r:id="rId323" display="https://www.linkedin.com/in/mayar-saber-0067aa332?utm_source=share&amp;utm_campaign=share_via&amp;utm_content=profile&amp;utm_medium=android_app" xr:uid="{00000000-0004-0000-0200-000042010000}"/>
    <hyperlink ref="E112" r:id="rId324" display="https://web.facebook.com/profile.php?id=100007729814577" xr:uid="{00000000-0004-0000-0200-000043010000}"/>
    <hyperlink ref="H112" r:id="rId325" display="http://www.linkedin.com/in/mohamed-taha-057422287" xr:uid="{00000000-0004-0000-0200-000044010000}"/>
    <hyperlink ref="J112" r:id="rId326" display="https://www.behance.net/mohamedelkholy38" xr:uid="{00000000-0004-0000-0200-000045010000}"/>
    <hyperlink ref="E113" r:id="rId327" display="https://www.facebook.com/share/17HuC6FAj3/" xr:uid="{00000000-0004-0000-0200-000046010000}"/>
    <hyperlink ref="E114" r:id="rId328" display="https://www.facebook.com/profile.php?id=100024984033394&amp;mibextid=ZbWKwL" xr:uid="{00000000-0004-0000-0200-000047010000}"/>
    <hyperlink ref="F114" r:id="rId329" display="https://www.facebook.com/profile.php?id=100024984033394&amp;mibextid=ZbWKwL" xr:uid="{00000000-0004-0000-0200-000048010000}"/>
    <hyperlink ref="G114" r:id="rId330" display="https://www.facebook.com/profile.php?id=100024984033394&amp;mibextid=ZbWKwL" xr:uid="{00000000-0004-0000-0200-000049010000}"/>
    <hyperlink ref="H114" r:id="rId331" display="https://www.facebook.com/profile.php?id=100024984033394&amp;mibextid=ZbWKwL" xr:uid="{00000000-0004-0000-0200-00004A010000}"/>
    <hyperlink ref="I114" r:id="rId332" display="https://www.facebook.com/profile.php?id=100024984033394&amp;mibextid=ZbWKwL" xr:uid="{00000000-0004-0000-0200-00004B010000}"/>
    <hyperlink ref="J114" r:id="rId333" display="https://www.facebook.com/profile.php?id=100024984033394&amp;mibextid=ZbWKwL" xr:uid="{00000000-0004-0000-0200-00004C010000}"/>
    <hyperlink ref="E115" r:id="rId334" display="https://www.facebook.com/Nada.Esam.0?mibextid=ZbWKwL" xr:uid="{00000000-0004-0000-0200-00004D010000}"/>
    <hyperlink ref="H115" r:id="rId335" display="http://www.linkedin.com/in/nada-essam-93b371320" xr:uid="{00000000-0004-0000-0200-00004E010000}"/>
    <hyperlink ref="E116" r:id="rId336" display="https://www.facebook.com/shahd.ayman.520900?mibextid=ZbWKwL" xr:uid="{00000000-0004-0000-0200-00004F010000}"/>
    <hyperlink ref="H116" r:id="rId337" display="https://www.linkedin.com/in/shahd-ayman-126544337?utm_source=share&amp;utm_campaign=share_via&amp;utm_content=profile&amp;utm_medium=android_app" xr:uid="{00000000-0004-0000-0200-000050010000}"/>
    <hyperlink ref="I116" r:id="rId338" display="https://github.com/shahdayman315315" xr:uid="{00000000-0004-0000-0200-000051010000}"/>
    <hyperlink ref="J116" r:id="rId339" display="https://www.behance.net/shahdayman39" xr:uid="{00000000-0004-0000-0200-000052010000}"/>
    <hyperlink ref="E117" r:id="rId340" display="https://www.facebook.com/share/1AaA2K3zES/" xr:uid="{00000000-0004-0000-0200-000053010000}"/>
    <hyperlink ref="H117" r:id="rId341" display="https://www.linkedin.com/in/ter-stegen-b24324321" xr:uid="{00000000-0004-0000-0200-000054010000}"/>
    <hyperlink ref="I117" r:id="rId342" display="https://github.com/Tertegen2004" xr:uid="{00000000-0004-0000-0200-000055010000}"/>
    <hyperlink ref="E118" r:id="rId343" display="https://www.facebook.com/shams.mohammed.50309277?mibextid=ZbWKwL" xr:uid="{00000000-0004-0000-0200-000056010000}"/>
    <hyperlink ref="H118" r:id="rId344" display="https://www.linkedin.com/in/shams-mohammed-085570330?utm_source=share&amp;utm_campaign=share_via&amp;utm_content=profile&amp;utm_medium=android_app" xr:uid="{00000000-0004-0000-0200-000057010000}"/>
    <hyperlink ref="I118" r:id="rId345" display="https://github.com/about" xr:uid="{00000000-0004-0000-0200-000058010000}"/>
    <hyperlink ref="E119" r:id="rId346" display="https://www.facebook.com/profile.php?id=100052577115537&amp;mibextid=rS40aB7S9Ucbxw6v" xr:uid="{00000000-0004-0000-0200-000059010000}"/>
    <hyperlink ref="F119" r:id="rId347" display="http://discordapp.com/users/1202687550347812904" xr:uid="{00000000-0004-0000-0200-00005A010000}"/>
    <hyperlink ref="G119" r:id="rId348" display="https://x.com/Am_mar77" xr:uid="{00000000-0004-0000-0200-00005B010000}"/>
    <hyperlink ref="H119" r:id="rId349" display="https://www.linkedin.com/in/ammar-yasser-a93684216/" xr:uid="{00000000-0004-0000-0200-00005C010000}"/>
    <hyperlink ref="I119" r:id="rId350" display="https://github.com/Ammar10000" xr:uid="{00000000-0004-0000-0200-00005D010000}"/>
    <hyperlink ref="J119" r:id="rId351" display="https://www.behance.net/ammaryasser138" xr:uid="{00000000-0004-0000-0200-00005E010000}"/>
    <hyperlink ref="E120" r:id="rId352" display="https://www.facebook.com/profile.php?id=100017434952431&amp;mibextid=ZbWKwL" xr:uid="{00000000-0004-0000-0200-00005F010000}"/>
    <hyperlink ref="E121" r:id="rId353" display="https://www.facebook.com/profile.php?id=100011038352640&amp;mibextid=LQQJ4d" xr:uid="{00000000-0004-0000-0200-000060010000}"/>
    <hyperlink ref="E122" r:id="rId354" display="https://www.facebook.com/mohamed.rehab.7777" xr:uid="{00000000-0004-0000-0200-000061010000}"/>
    <hyperlink ref="H122" r:id="rId355" display="https://www.linkedin.com/in/rawan-wael-8a2234338?utm_source=share&amp;utm_campaign=share_via&amp;utm_content=profile&amp;utm_medium=android_app" xr:uid="{00000000-0004-0000-0200-000062010000}"/>
    <hyperlink ref="I122" r:id="rId356" display="https://github.com/RawanWaell" xr:uid="{00000000-0004-0000-0200-000063010000}"/>
    <hyperlink ref="E123" r:id="rId357" display="https://www.facebook.com/profile.php?id=61563413667227&amp;mibextid=ZbWKwL" xr:uid="{00000000-0004-0000-0200-000064010000}"/>
    <hyperlink ref="E124" r:id="rId358" display="https://www.facebook.com/share/19can6oCtz/" xr:uid="{00000000-0004-0000-0200-000065010000}"/>
    <hyperlink ref="G124" r:id="rId359" display="https://x.com/HabibaT60497446?t=5pV__LxA1bI2MrElRB_7ZA&amp;s=09" xr:uid="{00000000-0004-0000-0200-000066010000}"/>
    <hyperlink ref="H124" r:id="rId360" display="https://www.linkedin.com/in/habiba-tarek-a54a16329?utm_source=share&amp;utm_campaign=share_via&amp;utm_content=profile&amp;utm_medium=android_app" xr:uid="{00000000-0004-0000-0200-000067010000}"/>
    <hyperlink ref="J124" r:id="rId361" display="https://www.behance.net/habibatarek40" xr:uid="{00000000-0004-0000-0200-000068010000}"/>
    <hyperlink ref="E125" r:id="rId362" display="https://www.facebook.com/profile.php?id=100009623321304&amp;mibextid=LQQJ4d" xr:uid="{00000000-0004-0000-0200-000069010000}"/>
    <hyperlink ref="F125" r:id="rId363" display="https://discord.gg/Ks4Duf4s" xr:uid="{00000000-0004-0000-0200-00006A010000}"/>
    <hyperlink ref="G125" r:id="rId364" display="https://x.com/mennamaged2389?s=11" xr:uid="{00000000-0004-0000-0200-00006B010000}"/>
    <hyperlink ref="H125" r:id="rId365" display="https://www.linkedin.com/in/menna-maged-280b00337?utm_source=share&amp;utm_campaign=share_via&amp;utm_content=profile&amp;utm_medium=ios_app" xr:uid="{00000000-0004-0000-0200-00006C010000}"/>
    <hyperlink ref="I125" r:id="rId366" display="https://github.com/MennaMag" xr:uid="{00000000-0004-0000-0200-00006D010000}"/>
    <hyperlink ref="J125" r:id="rId367" display="https://bunch.party/pRLSNFQewQRNJXM89" xr:uid="{00000000-0004-0000-0200-00006E010000}"/>
    <hyperlink ref="E126" r:id="rId368" display="https://www.facebook.com/profile.php?id=100078637792247&amp;mibextid=LQQJ4d" xr:uid="{00000000-0004-0000-0200-00006F010000}"/>
    <hyperlink ref="F126" r:id="rId369" display="https://discord.gg/afEVnFsF" xr:uid="{00000000-0004-0000-0200-000070010000}"/>
    <hyperlink ref="G126" r:id="rId370" display="https://x.com/shrief_mena?s=21" xr:uid="{00000000-0004-0000-0200-000071010000}"/>
    <hyperlink ref="H126" r:id="rId371" display="https://www.linkedin.com/in/mena-sheref-40aa142b6?utm_source=share&amp;utm_campaign=share_via&amp;utm_content=profile&amp;utm_medium=ios_app" xr:uid="{00000000-0004-0000-0200-000072010000}"/>
    <hyperlink ref="I126" r:id="rId372" display="https://github.com/mennasheref571/Menna-Sheref.git" xr:uid="{00000000-0004-0000-0200-000073010000}"/>
    <hyperlink ref="J126" r:id="rId373" display="https://bunch.party/SEcXKqwwW9x9nJBh6" xr:uid="{00000000-0004-0000-0200-000074010000}"/>
    <hyperlink ref="E127" r:id="rId374" display="https://www.facebook.com/profile.php?id=100046090037039&amp;mibextid=ZbWKwL" xr:uid="{00000000-0004-0000-0200-000075010000}"/>
    <hyperlink ref="G127" r:id="rId375" display="https://x.com/mohamed68405277?t=PvzF8dNmcuZqcEIu9qUgJg&amp;s=09" xr:uid="{00000000-0004-0000-0200-000076010000}"/>
    <hyperlink ref="E128" r:id="rId376" display="https://www.facebook.com/rahma.alnabarawy" xr:uid="{00000000-0004-0000-0200-000077010000}"/>
    <hyperlink ref="H128" r:id="rId377" display="https://www.linkedin.com/in/rahma-elnabarawy-787638304/" xr:uid="{00000000-0004-0000-0200-000078010000}"/>
    <hyperlink ref="E129" r:id="rId378" display="https://www.facebook.com/profile.php?id=100052327116987" xr:uid="{00000000-0004-0000-0200-000079010000}"/>
    <hyperlink ref="H129" r:id="rId379" display="https://www.linkedin.com/in/ola-mohamed-666968293" xr:uid="{00000000-0004-0000-0200-00007A010000}"/>
    <hyperlink ref="E130" r:id="rId380" display="https://web.facebook.com/profile.php?id=100086733346796" xr:uid="{00000000-0004-0000-0200-00007B010000}"/>
    <hyperlink ref="H130" r:id="rId381" display="https://www.linkedin.com/in/hassan-ebrahim-1b3a09264?utm_source=share&amp;utm_campaign=share_via&amp;utm_content=profile&amp;utm_medium=android_app" xr:uid="{00000000-0004-0000-0200-00007C010000}"/>
    <hyperlink ref="I130" r:id="rId382" display="https://github.com/Hassanlbrhim" xr:uid="{00000000-0004-0000-0200-00007D010000}"/>
    <hyperlink ref="J130" r:id="rId383" display="https://www.behance.net/hassanbadran1" xr:uid="{00000000-0004-0000-0200-00007E010000}"/>
    <hyperlink ref="E131" r:id="rId384" display="https://www.facebook.com/profile.php?id=61555144246324&amp;mibextid=ZbWKwL" xr:uid="{00000000-0004-0000-0200-00007F010000}"/>
    <hyperlink ref="H131" r:id="rId385" display="https://www.facebook.com/profile.php?id=61555144246324&amp;mibextid=ZbWKwL" xr:uid="{00000000-0004-0000-0200-000080010000}"/>
    <hyperlink ref="I131" r:id="rId386" display="https://www.facebook.com/profile.php?id=61555144246324&amp;mibextid=ZbWKwL" xr:uid="{00000000-0004-0000-0200-000081010000}"/>
    <hyperlink ref="J131" r:id="rId387" display="https://www.facebook.com/profile.php?id=61555144246324&amp;mibextid=ZbWKwL" xr:uid="{00000000-0004-0000-0200-000082010000}"/>
    <hyperlink ref="E132" r:id="rId388" display="https://www.facebook.com/profile.php?id=61551377777169" xr:uid="{00000000-0004-0000-0200-000083010000}"/>
    <hyperlink ref="E133" r:id="rId389" display="https://www.facebook.com/profile.php?id=100077591564945&amp;sk=about" xr:uid="{00000000-0004-0000-0200-000084010000}"/>
    <hyperlink ref="G133" r:id="rId390" display="https://x.com/YousefElbasouny" xr:uid="{00000000-0004-0000-0200-000085010000}"/>
    <hyperlink ref="H133" r:id="rId391" display="https://www.linkedin.com/in/yousef-el-basuony-618423242?utm_source=share&amp;utm_campaign=share_via&amp;utm_content=profile&amp;utm_medium=android_app" xr:uid="{00000000-0004-0000-0200-000086010000}"/>
    <hyperlink ref="I133" r:id="rId392" display="https://github.com/youssef800900" xr:uid="{00000000-0004-0000-0200-000087010000}"/>
    <hyperlink ref="J133" r:id="rId393" display="https://www.behance.net/youssefel-baso" xr:uid="{00000000-0004-0000-0200-000088010000}"/>
    <hyperlink ref="E134" r:id="rId394" display="https://www.facebook.com/osama.anwar.3701?mibextid=ZbWKwL" xr:uid="{00000000-0004-0000-0200-000089010000}"/>
    <hyperlink ref="E135" r:id="rId395" display="https://www.facebook.com/profile.php?id=100015314594323" xr:uid="{00000000-0004-0000-0200-00008A010000}"/>
    <hyperlink ref="H135" r:id="rId396" display="http://www.linkedin.com/in/mostafa-makram-a3a710322" xr:uid="{00000000-0004-0000-0200-00008B010000}"/>
    <hyperlink ref="E136" r:id="rId397" display="https://www.facebook.com/mena.rashed.52?mibextid=ZbWKwL" xr:uid="{00000000-0004-0000-0200-00008C010000}"/>
    <hyperlink ref="F136" r:id="rId398" display="https://discord.com/channels/@me" xr:uid="{00000000-0004-0000-0200-00008D010000}"/>
    <hyperlink ref="G136" r:id="rId399" display="https://x.com/mennarashe62803?t=ffbO_1ByhVEYelXWWu1hSw&amp;s=09" xr:uid="{00000000-0004-0000-0200-00008E010000}"/>
    <hyperlink ref="H136" r:id="rId400" display="https://www.linkedin.com/in/menna-rashed?utm_source=share&amp;utm_campaign=share_via&amp;utm_content=profile&amp;utm_medium=android_app" xr:uid="{00000000-0004-0000-0200-00008F010000}"/>
    <hyperlink ref="I136" r:id="rId401" display="https://github.com/mennarashed01" xr:uid="{00000000-0004-0000-0200-000090010000}"/>
    <hyperlink ref="J136" r:id="rId402" display="https://www.behance.net/mennarashed3" xr:uid="{00000000-0004-0000-0200-000091010000}"/>
    <hyperlink ref="E137" r:id="rId403" display="https://www.facebook.com/mohamod.ahmed.9?mibextid=JRoKGi" xr:uid="{00000000-0004-0000-0200-000092010000}"/>
    <hyperlink ref="E138" r:id="rId404" display="https://www.facebook.com/profile.php?id=61564666443048" xr:uid="{00000000-0004-0000-0200-000093010000}"/>
    <hyperlink ref="F138" r:id="rId405" display="https://discord.gg/DYwUGJMp" xr:uid="{00000000-0004-0000-0200-000094010000}"/>
    <hyperlink ref="H138" r:id="rId406" display="https://www.linkedin.com/in/mustafa-allithey-6ba11a310?utm_source=share&amp;utm_campaign=share_via&amp;utm_content=profile&amp;utm_medium=ios_app" xr:uid="{00000000-0004-0000-0200-000095010000}"/>
    <hyperlink ref="I138" r:id="rId407" display="https://github.com/ellithey566/ellithey566/tree/main" xr:uid="{00000000-0004-0000-0200-000096010000}"/>
    <hyperlink ref="E139" r:id="rId408" display="https://www.facebook.com/yyahya.yyahya.167?mibextid=ZbWKwL" xr:uid="{00000000-0004-0000-0200-000097010000}"/>
    <hyperlink ref="G139" r:id="rId409" display="http://fdjdjsj.com/" xr:uid="{00000000-0004-0000-0200-000098010000}"/>
    <hyperlink ref="H139" r:id="rId410" display="https://www.linkedin.com/in/yahya-fahmy-a178a2235?utm_source=share&amp;utm_campaign=share_via&amp;utm_content=profile&amp;utm_medium=android_app" xr:uid="{00000000-0004-0000-0200-000099010000}"/>
    <hyperlink ref="I139" r:id="rId411" display="http://sisiis.com/" xr:uid="{00000000-0004-0000-0200-00009A010000}"/>
    <hyperlink ref="J139" r:id="rId412" display="http://aesaa.com/" xr:uid="{00000000-0004-0000-0200-00009B010000}"/>
    <hyperlink ref="E140" r:id="rId413" display="https://www.facebook.com/share/1EFr653UAg/" xr:uid="{00000000-0004-0000-0200-00009C010000}"/>
    <hyperlink ref="H140" r:id="rId414" display="https://www.linkedin.com/in/nour-elsharkawy-9139b22a8?utm_source=share&amp;utm_campaign=share_via&amp;utm_content=profile&amp;utm_medium=android_app" xr:uid="{00000000-0004-0000-0200-00009D010000}"/>
    <hyperlink ref="E141" r:id="rId415" display="https://www.facebook.com/maryamabdallahbelal.belal" xr:uid="{00000000-0004-0000-0200-00009E010000}"/>
    <hyperlink ref="G141" r:id="rId416" display="https://x.com/MaRyam3bdallahh" xr:uid="{00000000-0004-0000-0200-00009F010000}"/>
    <hyperlink ref="I141" r:id="rId417" display="https://github.com/maryamabdallahhh" xr:uid="{00000000-0004-0000-0200-0000A0010000}"/>
    <hyperlink ref="E142" r:id="rId418" display="https://www.facebook.com/esraa.khafaga.77?mibextid=ZbWKwL" xr:uid="{00000000-0004-0000-0200-0000A1010000}"/>
    <hyperlink ref="G142" r:id="rId419" display="https://x.com/EsraaMo07592744?t=rYYssPf1y8ZIKtGkXiY8yQ&amp;s=09" xr:uid="{00000000-0004-0000-0200-0000A2010000}"/>
    <hyperlink ref="H142" r:id="rId420" display="https://www.linkedin.com/in/esraa-khafaga-b341b3327?utm_source=share&amp;utm_campaign=share_via&amp;utm_content=profile&amp;utm_medium=android_app" xr:uid="{00000000-0004-0000-0200-0000A3010000}"/>
    <hyperlink ref="E143" r:id="rId421" display="https://www.facebook.com/profile.php?id=61551146000364&amp;mibextid=LQQJ4d" xr:uid="{00000000-0004-0000-0200-0000A4010000}"/>
    <hyperlink ref="G143" r:id="rId422" display="https://x.com/JMohammed248" xr:uid="{00000000-0004-0000-0200-0000A5010000}"/>
    <hyperlink ref="H143" r:id="rId423" display="https://www.linkedin.com/me?trk=p_mwlite_feed-secondary_nav" xr:uid="{00000000-0004-0000-0200-0000A6010000}"/>
    <hyperlink ref="E144" r:id="rId424" display="https://www.facebook.com/profile.php?id=100004946415208&amp;mibextid=LQQJ4d" xr:uid="{00000000-0004-0000-0200-0000A7010000}"/>
    <hyperlink ref="G144" r:id="rId425" display="https://x.com/fareda87238411/status/1718490698725343700?s=46&amp;t=7NEUuB-poe4vTIx8Tgzfxw" xr:uid="{00000000-0004-0000-0200-0000A8010000}"/>
    <hyperlink ref="H144" r:id="rId426" display="https://www.linkedin.com/in/farida-almekkawi-a6720329a?utm_source=share&amp;utm_campaign=share_via&amp;utm_content=profile&amp;utm_medium=ios_app" xr:uid="{00000000-0004-0000-0200-0000A9010000}"/>
    <hyperlink ref="I144" r:id="rId427" display="https://github.com/FaridaAlmekkawi" xr:uid="{00000000-0004-0000-0200-0000AA010000}"/>
    <hyperlink ref="E145" r:id="rId428" display="https://www.facebook.com/profile.php?id=100090361726968&amp;mibextid=ZbWKwL" xr:uid="{00000000-0004-0000-0200-0000AB010000}"/>
    <hyperlink ref="F145" r:id="rId429" display="https://www.facebook.com/profile.php?id=100090361726968&amp;mibextid=ZbWKwL" xr:uid="{00000000-0004-0000-0200-0000AC010000}"/>
    <hyperlink ref="E146" r:id="rId430" display="https://www.facebook.com/share/1BS7r5xXMB/" xr:uid="{00000000-0004-0000-0200-0000AD010000}"/>
    <hyperlink ref="H146" r:id="rId431" display="https://www.linkedin.com/in/khaled-megahed-3299a6289" xr:uid="{00000000-0004-0000-0200-0000AE010000}"/>
    <hyperlink ref="I146" r:id="rId432" display="https://github.com/Khaled-Megahed" xr:uid="{00000000-0004-0000-0200-0000AF010000}"/>
    <hyperlink ref="E147" r:id="rId433" display="https://www.facebook.com/profile.php?id=100054605572796&amp;mibextid=kFxxJD" xr:uid="{00000000-0004-0000-0200-0000B0010000}"/>
    <hyperlink ref="H147" r:id="rId434" display="https://www.linkedin.com/in/reda-mahmoud-5b7454303?lipi=urn%3Ali%3Apage%3Ad_flagship3_profile_view_base_contact_details%3B4RNScX4WSAaHvI3EBDmBCg%3D%3D" xr:uid="{00000000-0004-0000-0200-0000B1010000}"/>
    <hyperlink ref="E148" r:id="rId435" display="https://www.facebook.com/share/185b1LVCYu/" xr:uid="{00000000-0004-0000-0200-0000B2010000}"/>
    <hyperlink ref="H148" r:id="rId436" display="https://www.linkedin.com/in/omar-el-deeb-728b5525b?utm_source=share&amp;utm_campaign=share_via&amp;utm_content=profile&amp;utm_medium=android_app" xr:uid="{00000000-0004-0000-0200-0000B3010000}"/>
    <hyperlink ref="E149" r:id="rId437" display="https://www.facebook.com/profile.php?id=100005953952695" xr:uid="{00000000-0004-0000-0200-0000B4010000}"/>
    <hyperlink ref="F149" r:id="rId438" display="https://discord.gg/rt2n5swV" xr:uid="{00000000-0004-0000-0200-0000B5010000}"/>
    <hyperlink ref="G149" r:id="rId439" display="https://x.com/abdou_menn70310?t=DD8F3iZIt1c1dhadeGIsGw&amp;s=09" xr:uid="{00000000-0004-0000-0200-0000B6010000}"/>
    <hyperlink ref="H149" r:id="rId440" display="https://www.linkedin.com/in/menna-abdou-7a2254339?utm_source=share&amp;utm_campaign=share_via&amp;utm_content=profile&amp;utm_medium=android_app" xr:uid="{00000000-0004-0000-0200-0000B7010000}"/>
    <hyperlink ref="I149" r:id="rId441" display="https://www.linkedin.com/in/menna-abdou-7a2254339?utm_source=share&amp;utm_campaign=share_via&amp;utm_content=profile&amp;utm_medium=android_app" xr:uid="{00000000-0004-0000-0200-0000B8010000}"/>
    <hyperlink ref="J149" r:id="rId442" display="https://x.com/abdou_menn70310?t=DD8F3iZIt1c1dhadeGIsGw&amp;s=09" xr:uid="{00000000-0004-0000-0200-0000B9010000}"/>
    <hyperlink ref="E150" r:id="rId443" display="https://www.facebook.com/mariam.taha.1217?mibextid=ZbWKwL" xr:uid="{00000000-0004-0000-0200-0000BA010000}"/>
    <hyperlink ref="G150" r:id="rId444" display="https://x.com/MarimTa21648756?t=Iuk8yXHcVfm9BpffgpQpug&amp;s=08" xr:uid="{00000000-0004-0000-0200-0000BB010000}"/>
    <hyperlink ref="H150" r:id="rId445" display="https://www.linkedin.com/in/mariam-taha-72a047294?utm_source=share&amp;utm_campaign=share_via&amp;utm_content=profile&amp;utm_medium=android_app" xr:uid="{00000000-0004-0000-0200-0000BC010000}"/>
    <hyperlink ref="I150" r:id="rId446" display="https://github.com/kamranahmedse/developer-roadmap?tab=readme-ov-file" xr:uid="{00000000-0004-0000-0200-0000BD010000}"/>
    <hyperlink ref="E151" r:id="rId447" display="https://www.facebook.com/mariam.yehia.50115/?locale=ar_AR" xr:uid="{00000000-0004-0000-0200-0000BE010000}"/>
    <hyperlink ref="H151" r:id="rId448" display="https://www.linkedin.com/in/mariam-yehia-37279b27a?utm_source=share&amp;utm_campaign=share_via&amp;utm_content=profile&amp;utm_medium=ios_app" xr:uid="{00000000-0004-0000-0200-0000BF010000}"/>
    <hyperlink ref="E152" r:id="rId449" display="https://www.facebook.com/mohamed.abdelghany.18294053?mibextid=LQQJ4d" xr:uid="{00000000-0004-0000-0200-0000C0010000}"/>
    <hyperlink ref="H152" r:id="rId450" display="https://www.linkedin.com/in/mhamed-abdelghany" xr:uid="{00000000-0004-0000-0200-0000C1010000}"/>
    <hyperlink ref="E153" r:id="rId451" display="https://www.facebook.com/rawan.sameh.39?mibextid=LQQJ4d" xr:uid="{00000000-0004-0000-0200-0000C2010000}"/>
    <hyperlink ref="F153" r:id="rId452" location="027619" display="https://discord.com/users/rawan - 027619" xr:uid="{00000000-0004-0000-0200-0000C3010000}"/>
    <hyperlink ref="H153" r:id="rId453" display="https://www.linkedin.com/in/rawan-elshenawyy-046473339?trk=contact-info" xr:uid="{00000000-0004-0000-0200-0000C4010000}"/>
    <hyperlink ref="I153" r:id="rId454" display="https://github.com/Rawanelshenawy22" xr:uid="{00000000-0004-0000-0200-0000C5010000}"/>
    <hyperlink ref="E154" r:id="rId455" display="http://skwjd.com/" xr:uid="{00000000-0004-0000-0200-0000C6010000}"/>
    <hyperlink ref="F154" r:id="rId456" display="http://skwjd.com/" xr:uid="{00000000-0004-0000-0200-0000C7010000}"/>
    <hyperlink ref="G154" r:id="rId457" display="http://skwjd.com/" xr:uid="{00000000-0004-0000-0200-0000C8010000}"/>
    <hyperlink ref="H154" r:id="rId458" display="http://skwjd.com/" xr:uid="{00000000-0004-0000-0200-0000C9010000}"/>
    <hyperlink ref="E155" r:id="rId459" display="https://www.facebook.com/salmayasser1611?mibextid=ZbWKwL" xr:uid="{00000000-0004-0000-0200-0000CA010000}"/>
    <hyperlink ref="F155" r:id="rId460" display="https://discord.gg/NRDTphvj" xr:uid="{00000000-0004-0000-0200-0000CB010000}"/>
    <hyperlink ref="H155" r:id="rId461" display="https://www.linkedin.com/in/salma-yasser-276a56246?utm_source=share&amp;utm_campaign=share_via&amp;utm_content=profile&amp;utm_medium=android_app" xr:uid="{00000000-0004-0000-0200-0000CC010000}"/>
    <hyperlink ref="E156" r:id="rId462" display="https://www.facebook.com/share/fqyKVKotQPWbwXua/?mibextid=LQQJ4d" xr:uid="{00000000-0004-0000-0200-0000CD010000}"/>
    <hyperlink ref="F156" r:id="rId463" display="https://discord.gg/TNg9f7ZA" xr:uid="{00000000-0004-0000-0200-0000CE010000}"/>
    <hyperlink ref="G156" r:id="rId464" display="https://x.com/engeldeep1?s=21" xr:uid="{00000000-0004-0000-0200-0000CF010000}"/>
    <hyperlink ref="H156" r:id="rId465" display="https://www.linkedin.com/in/khaled-eldeep-b50a9230a?utm_source=share&amp;utm_campaign=share_via&amp;utm_content=profile&amp;utm_medium=ios_app" xr:uid="{00000000-0004-0000-0200-0000D0010000}"/>
    <hyperlink ref="I156" r:id="rId466" display="https://github.com/khaledeldeep99?tab=repositories" xr:uid="{00000000-0004-0000-0200-0000D1010000}"/>
    <hyperlink ref="E157" r:id="rId467" display="https://www.facebook.com/hosamelsayed0" xr:uid="{00000000-0004-0000-0200-0000D2010000}"/>
    <hyperlink ref="H157" r:id="rId468" display="https://www.linkedin.com/in/hosamdev" xr:uid="{00000000-0004-0000-0200-0000D3010000}"/>
    <hyperlink ref="E158" r:id="rId469" display="https://www.facebook.com/profile.php?id=100050074596931" xr:uid="{00000000-0004-0000-0200-0000D4010000}"/>
    <hyperlink ref="G158" r:id="rId470" display="https://x.com/GaweeshAA?t=S_qotfFC2nsdv7NXpWgIQA&amp;s=09" xr:uid="{00000000-0004-0000-0200-0000D5010000}"/>
    <hyperlink ref="H158" r:id="rId471" display="https://www.linkedin.com/in/zyad-gaweesh-16ab131ab?utm_source=share&amp;utm_campaign=share_via&amp;utm_content=profile&amp;utm_medium=android_app" xr:uid="{00000000-0004-0000-0200-0000D6010000}"/>
    <hyperlink ref="I158" r:id="rId472" display="https://github.com/zyadGaweesh" xr:uid="{00000000-0004-0000-0200-0000D7010000}"/>
    <hyperlink ref="E159" r:id="rId473" display="https://www.facebook.com/myrna.nader.710?mibextid=ZbWKwL" xr:uid="{00000000-0004-0000-0200-0000D8010000}"/>
    <hyperlink ref="H159" r:id="rId474" display="https://www.linkedin.com/in/myrna-nader-a3084a2b6?utm_source=share&amp;utm_campaign=share_via&amp;utm_content=profile&amp;utm_medium=android_app" xr:uid="{00000000-0004-0000-0200-0000D9010000}"/>
    <hyperlink ref="E160" r:id="rId475" display="https://www.facebook.com/share/1Eq2sifAxM/" xr:uid="{00000000-0004-0000-0200-0000DA010000}"/>
    <hyperlink ref="H160" r:id="rId476" display="https://www.linkedin.com/in/salah-fathy-2219b525b?utm_source=share&amp;utm_campaign=share_via&amp;utm_content=profile&amp;utm_medium=android_app" xr:uid="{00000000-0004-0000-0200-0000DB010000}"/>
    <hyperlink ref="E161" r:id="rId477" display="https://www.facebook.com/profile.php?id=100073659169892&amp;mibextid=ZbWKwL" xr:uid="{00000000-0004-0000-0200-0000DC010000}"/>
    <hyperlink ref="E162" r:id="rId478" display="https://www.facebook.com/hassan.atia.7773" xr:uid="{00000000-0004-0000-0200-0000DD010000}"/>
    <hyperlink ref="H162" r:id="rId479" display="https://www.linkedin.com/in/hassan-3tia/?lipi=urn%3Ali%3Apage%3Ad_flagship3_profile_view_base%3BYGLjCGlXQsqZpJEk85kT8Q%3D%3D" xr:uid="{00000000-0004-0000-0200-0000DE010000}"/>
    <hyperlink ref="E163" r:id="rId480" display="https://www.facebook.com/profile.php?id=100018007389854" xr:uid="{00000000-0004-0000-0200-0000DF010000}"/>
    <hyperlink ref="E164" r:id="rId481" display="https://www.facebook.com/profile.php?id=100077678634980&amp;mibextid=LQQJ4d" xr:uid="{00000000-0004-0000-0200-0000E0010000}"/>
    <hyperlink ref="E165" r:id="rId482" display="https://www.facebook.com/hossam.shehata.796?mibextid=ZbWKwL" xr:uid="{00000000-0004-0000-0200-0000E1010000}"/>
    <hyperlink ref="H165" r:id="rId483" display="https://www.linkedin.com/in/hossam-shehata-0759a7317?utm_source=share&amp;utm_campaign=share_via&amp;utm_content=profile&amp;utm_medium=android_app" xr:uid="{00000000-0004-0000-0200-0000E2010000}"/>
    <hyperlink ref="E166" r:id="rId484" display="https://www.facebook.com/rawda.eweda.9?mibextid=ZbWKwL" xr:uid="{00000000-0004-0000-0200-0000E3010000}"/>
    <hyperlink ref="E167" r:id="rId485" display="https://www.facebook.com/profile.php?id=100022527114123&amp;mibextid=ZbWKwL" xr:uid="{00000000-0004-0000-0200-0000E4010000}"/>
    <hyperlink ref="H167" r:id="rId486" display="https://www.linkedin.com/in/salma-ashraf-273298320" xr:uid="{00000000-0004-0000-0200-0000E5010000}"/>
    <hyperlink ref="E168" r:id="rId487" display="https://www.facebook.com/share/SGhDK4om94Kyzx5R/?mibextid=" xr:uid="{00000000-0004-0000-0200-0000E6010000}"/>
    <hyperlink ref="G168" r:id="rId488" display="https://x.com/ab00delramady" xr:uid="{00000000-0004-0000-0200-0000E7010000}"/>
    <hyperlink ref="H168" r:id="rId489" display="https://eg.linkedin.com/in/abdelraman-elramady-56a040330" xr:uid="{00000000-0004-0000-0200-0000E8010000}"/>
    <hyperlink ref="I168" r:id="rId490" display="https://github.com/Abdelrahmanelramady" xr:uid="{00000000-0004-0000-0200-0000E9010000}"/>
    <hyperlink ref="J168" r:id="rId491" display="https://www.behance.net/abdelraelramad1" xr:uid="{00000000-0004-0000-0200-0000EA010000}"/>
    <hyperlink ref="E169" r:id="rId492" display="https://www.facebook.com/profile.php?id=100010529402835" xr:uid="{00000000-0004-0000-0200-0000EB010000}"/>
    <hyperlink ref="H169" r:id="rId493" display="https://www.linkedin.com/in/mahmd-ali/" xr:uid="{00000000-0004-0000-0200-0000EC010000}"/>
    <hyperlink ref="E170" r:id="rId494" display="https://www.facebook.com/Mo7ammed.Ja3far" xr:uid="{00000000-0004-0000-0200-0000ED010000}"/>
    <hyperlink ref="I170" r:id="rId495" display="https://github.com/Mo7ammed-Ja3far" xr:uid="{00000000-0004-0000-0200-0000EE010000}"/>
    <hyperlink ref="E171" r:id="rId496" display="https://www.facebook.com/yuossef.elessawy" xr:uid="{00000000-0004-0000-0200-0000EF010000}"/>
    <hyperlink ref="F171" r:id="rId497" display="https://discord.com/channels/@me/1292439273512894498" xr:uid="{00000000-0004-0000-0200-0000F0010000}"/>
    <hyperlink ref="H171" r:id="rId498" display="https://www.linkedin.com/in/yousef-el-esawy-a0b682321/" xr:uid="{00000000-0004-0000-0200-0000F1010000}"/>
    <hyperlink ref="E172" r:id="rId499" display="https://www.facebook.com/farah.salama.39?mibextid=LQQJ4d" xr:uid="{00000000-0004-0000-0200-0000F2010000}"/>
    <hyperlink ref="E173" r:id="rId500" display="https://www.facebook.com/profile.php?id=100088736247916&amp;mibextid=ZbWKwL" xr:uid="{00000000-0004-0000-0200-0000F3010000}"/>
    <hyperlink ref="F173" r:id="rId501" display="https://discord.gg/RU7vKS2e" xr:uid="{00000000-0004-0000-0200-0000F4010000}"/>
    <hyperlink ref="G173" r:id="rId502" display="https://x.com/SalmaElkho13292" xr:uid="{00000000-0004-0000-0200-0000F5010000}"/>
    <hyperlink ref="H173" r:id="rId503" display="https://www.linkedin.com/in/salma-elkholy-6319392a5?utm_source=share&amp;utm_campaign=share_via&amp;utm_content=profile&amp;utm_medium=android_app" xr:uid="{00000000-0004-0000-0200-0000F6010000}"/>
    <hyperlink ref="E174" r:id="rId504" display="https://www.facebook.com/mohamed.abdelazizel?mibextid=ZbWKwL" xr:uid="{00000000-0004-0000-0200-0000F7010000}"/>
    <hyperlink ref="H174" r:id="rId505" display="https://www.linkedin.com/in/mohamed-abdelaziz-1abb56232?utm_source=share&amp;utm_campaign=share_via&amp;utm_content=profile&amp;utm_medium=android_app" xr:uid="{00000000-0004-0000-0200-0000F8010000}"/>
    <hyperlink ref="I174" r:id="rId506" display="https://github.com/MohamedAbdelaziz177" xr:uid="{00000000-0004-0000-0200-0000F9010000}"/>
    <hyperlink ref="E175" r:id="rId507" display="https://www.facebook.com/profile.php?id=100094768422355" xr:uid="{00000000-0004-0000-0200-0000FA010000}"/>
    <hyperlink ref="J175" r:id="rId508" display="https://www.behance.net/mohamedmagdy581" xr:uid="{00000000-0004-0000-0200-0000FB010000}"/>
    <hyperlink ref="E176" r:id="rId509" display="https://www.facebook.com/profile.php?id=100073416367328&amp;mibextid=ZbWKwL" xr:uid="{00000000-0004-0000-0200-0000FC010000}"/>
    <hyperlink ref="H176" r:id="rId510" display="https://www.linkedin.com/in/yasmin-hassan-267891252?utm_source=share&amp;utm_campaign=share_via&amp;utm_content=profile&amp;utm_medium=android_app" xr:uid="{00000000-0004-0000-0200-0000FD010000}"/>
    <hyperlink ref="E177" r:id="rId511" display="https://www.facebook.com/ebrahim.yasser.7161?mibextid=ZbWKwL" xr:uid="{00000000-0004-0000-0200-0000FE010000}"/>
    <hyperlink ref="H177" r:id="rId512" display="https://www.linkedin.com/in/ebrahim-yasser-567223337/?lipi=urn%3Ali%3Apage%3Ad_flagship3_profile_view_base%3BrhdTa%2BSBTgeu33iBsHlZGA%3D%3D" xr:uid="{00000000-0004-0000-0200-0000FF010000}"/>
    <hyperlink ref="E178" r:id="rId513" display="https://www.facebook.com/kareem.alaa.5055?mibextid=ZbWKwL" xr:uid="{00000000-0004-0000-0200-000000020000}"/>
    <hyperlink ref="G178" r:id="rId514" display="https://x.com/koks162003?t=G0AmRlQCDBdB1oyiYFGnOw&amp;s=09" xr:uid="{00000000-0004-0000-0200-000001020000}"/>
    <hyperlink ref="H178" r:id="rId515" display="https://www.linkedin.com/in/koks7?utm_source=share&amp;utm_campaign=share_via&amp;utm_content=profile&amp;utm_medium=android_app" xr:uid="{00000000-0004-0000-0200-000002020000}"/>
    <hyperlink ref="I178" r:id="rId516" display="https://github.com/Kokss7" xr:uid="{00000000-0004-0000-0200-000003020000}"/>
    <hyperlink ref="E179" r:id="rId517" display="https://www.facebook.com/LoaiMohamed62/" xr:uid="{00000000-0004-0000-0200-000004020000}"/>
    <hyperlink ref="F179" r:id="rId518" display="http://discord.com/channels/@me" xr:uid="{00000000-0004-0000-0200-000005020000}"/>
    <hyperlink ref="G179" r:id="rId519" display="https://x.com/Loai_Mohameddd" xr:uid="{00000000-0004-0000-0200-000006020000}"/>
    <hyperlink ref="H179" r:id="rId520" display="https://www.linkedin.com/in/loaimohameddd/" xr:uid="{00000000-0004-0000-0200-000007020000}"/>
    <hyperlink ref="I179" r:id="rId521" display="https://github.com/LoaiMohamedd" xr:uid="{00000000-0004-0000-0200-000008020000}"/>
    <hyperlink ref="E180" r:id="rId522" display="https://www.facebook.com/profile.php?id=100068554088751&amp;locale=ar_AR" xr:uid="{00000000-0004-0000-0200-000009020000}"/>
    <hyperlink ref="E181" r:id="rId523" display="https://www.facebook.com/profile.php?id=100010739911830" xr:uid="{00000000-0004-0000-0200-00000A020000}"/>
    <hyperlink ref="G181" r:id="rId524" display="https://x.com/YousefM00344745" xr:uid="{00000000-0004-0000-0200-00000B020000}"/>
    <hyperlink ref="H181" r:id="rId525" display="https://www.linkedin.com/in/yousef-mohamed-110b92319?utm_source=share&amp;utm_campaign=share_via&amp;utm_content=profile&amp;utm_medium=android_app" xr:uid="{00000000-0004-0000-0200-00000C020000}"/>
    <hyperlink ref="I181" r:id="rId526" display="https://github.com/Yousef-Sh3ban" xr:uid="{00000000-0004-0000-0200-00000D020000}"/>
    <hyperlink ref="E182" r:id="rId527" display="https://www.facebook.com/share/15EdgTE8gd/" xr:uid="{00000000-0004-0000-0200-00000E020000}"/>
    <hyperlink ref="G182" r:id="rId528" display="https://x.com/ibrahimshabra11?t=W8WD4LjYHHNGt0e2DBnzvw&amp;s=09" xr:uid="{00000000-0004-0000-0200-00000F020000}"/>
    <hyperlink ref="H182" r:id="rId529" display="https://www.linkedin.com/in/ibrahim-elshabrawy-b8a9492aa?utm_source=share&amp;utm_campaign=share_via&amp;utm_content=profile&amp;utm_medium=android_app" xr:uid="{00000000-0004-0000-0200-000010020000}"/>
    <hyperlink ref="I182" r:id="rId530" display="https://github.com/Ibrahimelshabrawy" xr:uid="{00000000-0004-0000-0200-000011020000}"/>
    <hyperlink ref="J182" r:id="rId531" display="https://www.behance.net/ibrahimelshabr" xr:uid="{00000000-0004-0000-0200-000012020000}"/>
    <hyperlink ref="E183" r:id="rId532" display="https://www.facebook.com/mostafa.ezz.9275?mibextid=ZbWKwL" xr:uid="{00000000-0004-0000-0200-000013020000}"/>
    <hyperlink ref="G183" r:id="rId533" display="https://x.com/Mostafa_ezz19?t=QY1jmjtyrihA-71xfiP1aA&amp;s=09" xr:uid="{00000000-0004-0000-0200-000014020000}"/>
    <hyperlink ref="H183" r:id="rId534" display="https://www.linkedin.com/in/mostafa-ezz-0971232ba?utm_source=share&amp;utm_campaign=share_via&amp;utm_content=profile&amp;utm_medium=android_app" xr:uid="{00000000-0004-0000-0200-000015020000}"/>
    <hyperlink ref="E184" r:id="rId535" display="https://www.facebook.com/samy.omar.752?mibextid=ZbWKwL" xr:uid="{00000000-0004-0000-0200-000016020000}"/>
    <hyperlink ref="H184" r:id="rId536" display="https://www.linkedin.com/in/samy-omar-23206a295?lipi=urn%3Ali%3Apage%3Ad_flagship3_" xr:uid="{00000000-0004-0000-0200-000017020000}"/>
    <hyperlink ref="I184" r:id="rId537" display="https://github.com/SamyOmar-DS/samy-_-omar" xr:uid="{00000000-0004-0000-0200-000018020000}"/>
    <hyperlink ref="E185" r:id="rId538" display="https://www.facebook.com/omnia.hossam.1654700" xr:uid="{00000000-0004-0000-0200-000019020000}"/>
    <hyperlink ref="I185" r:id="rId539" display="https://github.com/omnia-hossam/desktop-tutorial.git" xr:uid="{00000000-0004-0000-0200-00001A020000}"/>
    <hyperlink ref="E186" r:id="rId540" display="https://www.facebook.com/share/1EE73quSG9/" xr:uid="{00000000-0004-0000-0200-00001B020000}"/>
    <hyperlink ref="H186" r:id="rId541" display="https://www.linkedin.com/in/mohraeel-george-418519302?utm_source=share&amp;utm_campaign=share_via&amp;utm_content=profile&amp;utm_medium=android_app" xr:uid="{00000000-0004-0000-0200-00001C020000}"/>
    <hyperlink ref="E187" r:id="rId542" display="https://www.facebook.com/eman.gabr.7311?mibextid=ZbWKwL" xr:uid="{00000000-0004-0000-0200-00001D020000}"/>
    <hyperlink ref="G187" r:id="rId543" display="https://x.com/emangabr53?t=RQ8aC-c-s1IXelOAO7LFQw&amp;s=09" xr:uid="{00000000-0004-0000-0200-00001E020000}"/>
    <hyperlink ref="H187" r:id="rId544" display="https://www.linkedin.com/in/eman-gabr-714177324?utm_source=share&amp;utm_campaign=share_via&amp;utm_content=profile&amp;utm_medium=android_app" xr:uid="{00000000-0004-0000-0200-00001F020000}"/>
    <hyperlink ref="I187" r:id="rId545" display="https://github.com/Eman-Gabr25" xr:uid="{00000000-0004-0000-0200-000020020000}"/>
    <hyperlink ref="J187" r:id="rId546" display="https://www.behance.net/emangabr3" xr:uid="{00000000-0004-0000-0200-000021020000}"/>
    <hyperlink ref="E188" r:id="rId547" display="https://www.facebook.com/yasmin.radwan.79" xr:uid="{00000000-0004-0000-0200-000022020000}"/>
    <hyperlink ref="H188" r:id="rId548" display="https://www.linkedin.com/in/yasmin-mohammed-8356b4305?utm_source=share&amp;utm_campaign=share_via&amp;utm_content=profile&amp;utm_medium=ios_app" xr:uid="{00000000-0004-0000-0200-000023020000}"/>
    <hyperlink ref="E189" r:id="rId549" display="https://www.facebook.com/mazin.alaa.965?mibextid=LQQJ4d" xr:uid="{00000000-0004-0000-0200-000024020000}"/>
    <hyperlink ref="E190" r:id="rId550" display="https://www.facebook.com/profile.php?id=100025116093970&amp;mibextid=ZbWKwL" xr:uid="{00000000-0004-0000-0200-000025020000}"/>
    <hyperlink ref="G190" r:id="rId551" display="https://x.com/Omar2015790?t=2UqOIxTrjCk5pw_XdZedIA&amp;s=09" xr:uid="{00000000-0004-0000-0200-000026020000}"/>
    <hyperlink ref="H190" r:id="rId552" display="https://www.linkedin.com/in/omar-ahmed-84304b326?utm_source=share&amp;utm_campaign=share_via&amp;utm_content=profile&amp;utm_medium=android_app" xr:uid="{00000000-0004-0000-0200-000027020000}"/>
    <hyperlink ref="I190" r:id="rId553" location=":~:text=Repositories-,Omar%2DA7med,-Set%20status" display="https://github.com/Omar-A7med - :~:text=Repositories-,Omar%2DA7med,-Set%20status" xr:uid="{00000000-0004-0000-0200-000028020000}"/>
    <hyperlink ref="J190" r:id="rId554" display="https://www.behance.net/omarahmed728" xr:uid="{00000000-0004-0000-0200-000029020000}"/>
    <hyperlink ref="E191" r:id="rId555" display="https://www.facebook.com/profile.php?id=100015832326623&amp;mibextid=ZbWKwL" xr:uid="{00000000-0004-0000-0200-00002A020000}"/>
    <hyperlink ref="E192" r:id="rId556" display="https://www.facebook.com/profile.php?id=100003506793150" xr:uid="{00000000-0004-0000-0200-00002B020000}"/>
    <hyperlink ref="G192" r:id="rId557" display="https://x.com/Mo_Nader_1?t=Bs9YOdDqGGASkbIgs9im3Q&amp;s=08" xr:uid="{00000000-0004-0000-0200-00002C020000}"/>
    <hyperlink ref="H192" r:id="rId558" display="http://www.linkedin.com/in/mohamed-naderrr" xr:uid="{00000000-0004-0000-0200-00002D020000}"/>
    <hyperlink ref="I192" r:id="rId559" display="https://github.com/mohamednaderrr" xr:uid="{00000000-0004-0000-0200-00002E020000}"/>
    <hyperlink ref="E193" r:id="rId560" display="https://www.facebook.com/profile.php?id=61565769183947&amp;mibextid=ZbWKwL" xr:uid="{00000000-0004-0000-0200-00002F020000}"/>
    <hyperlink ref="E194" r:id="rId561" display="https://www.facebook.com/profile.php?id=100069021003621&amp;mibextid=ZbWKwL" xr:uid="{00000000-0004-0000-0200-000030020000}"/>
    <hyperlink ref="G194" r:id="rId562" display="https://x.com/yousefyahia74?t=2n5fJW9MOjZDrjTkv3F8QA&amp;s=09" xr:uid="{00000000-0004-0000-0200-000031020000}"/>
    <hyperlink ref="H194" r:id="rId563" display="https://www.linkedin.com/in/yousefyahia74?utm_source=share&amp;utm_campaign=share_via&amp;utm_content=profile&amp;utm_medium=android_app" xr:uid="{00000000-0004-0000-0200-000032020000}"/>
    <hyperlink ref="I194" r:id="rId564" display="https://github.com/yoousefyahia" xr:uid="{00000000-0004-0000-0200-000033020000}"/>
    <hyperlink ref="E195" r:id="rId565" display="https://www.facebook.com/profile.php?id=100040488228934&amp;mibextid=LQQJ4d" xr:uid="{00000000-0004-0000-0200-000034020000}"/>
    <hyperlink ref="G195" r:id="rId566" display="https://www.facebook.com/profile.php?id=100040488228934&amp;mibextid=LQQJ4d" xr:uid="{00000000-0004-0000-0200-000035020000}"/>
    <hyperlink ref="H195" r:id="rId567" display="https://www.linkedin.com/in/kareem-alaaa-47430a2b8?utm_source=share&amp;utm_campaign=share_via&amp;utm_content=profile&amp;utm_medium=ios_app" xr:uid="{00000000-0004-0000-0200-000036020000}"/>
    <hyperlink ref="E196" r:id="rId568" display="https://www.facebook.com/p/Malak-Elgamily-100030976390267/?mibextid=LQQJ4d" xr:uid="{00000000-0004-0000-0200-000037020000}"/>
    <hyperlink ref="G196" r:id="rId569" display="https://x.com/home" xr:uid="{00000000-0004-0000-0200-000038020000}"/>
    <hyperlink ref="H196" r:id="rId570" display="https://www.linkedin.com/in/malak-elgamily-aba865329?utm_source=share&amp;utm_campaign=share_via&amp;utm_content=profile&amp;utm_medium=ios_app" xr:uid="{00000000-0004-0000-0200-000039020000}"/>
    <hyperlink ref="E197" r:id="rId571" display="https://www.facebook.com/profile.php?id=100010602588546&amp;mibextid=LQQJ4d" xr:uid="{00000000-0004-0000-0200-00003A020000}"/>
    <hyperlink ref="F197" r:id="rId572" display="https://www.facebook.com/profile.php?id=100010602588546&amp;mibextid=LQQJ4d" xr:uid="{00000000-0004-0000-0200-00003B020000}"/>
    <hyperlink ref="G197" r:id="rId573" display="https://x.com/nadaa_hasan1?s=21" xr:uid="{00000000-0004-0000-0200-00003C020000}"/>
    <hyperlink ref="H197" r:id="rId574" display="https://www.linkedin.com/in/nada-hassan-9645a1336?utm_source=share&amp;utm_campaign=share_via&amp;utm_content=profile&amp;utm_medium=ios_app" xr:uid="{00000000-0004-0000-0200-00003D020000}"/>
    <hyperlink ref="E198" r:id="rId575" display="https://www.facebook.com/" xr:uid="{00000000-0004-0000-0200-00003E020000}"/>
    <hyperlink ref="F198" r:id="rId576" display="https://www.bing.com/ck/a?!&amp;&amp;p=ac5205759914d9a32e1e59893a55a4fe512b4d4ea9203b027e9a986c77fc7df6JmltdHM9MTczMjIzMzYwMA&amp;ptn=3&amp;ver=2&amp;hsh=4&amp;fclid=0ae15731-962d-663b-006f-42219797676b&amp;psq=discord&amp;u=a1aHR0cHM6Ly9kaXNjb3JkLmNvbS8&amp;ntb=1" xr:uid="{00000000-0004-0000-0200-00003F020000}"/>
    <hyperlink ref="G198" r:id="rId577" display="https://x.com/OAbdalallh20858" xr:uid="{00000000-0004-0000-0200-000040020000}"/>
    <hyperlink ref="H198" r:id="rId578" display="https://www.linkedin.com/in/omar-abdalallh-46a55a2b7/?lipi=urn%3Ali%3Apage%3Ad_flagship3_feed%3BiG%2BRMAZqShmAhangtIyRzQ%3D%3D" xr:uid="{00000000-0004-0000-0200-000041020000}"/>
    <hyperlink ref="I198" r:id="rId579" display="https://github.com/" xr:uid="{00000000-0004-0000-0200-000042020000}"/>
    <hyperlink ref="E199" r:id="rId580" display="https://www.facebook.com/fathy.elbyar?mibextid=ZbWKwL" xr:uid="{00000000-0004-0000-0200-000043020000}"/>
    <hyperlink ref="F199" r:id="rId581" display="https://www.facebook.com/fathy.elbyar?mibextid=ZbWKwL" xr:uid="{00000000-0004-0000-0200-000044020000}"/>
    <hyperlink ref="I199" r:id="rId582" display="https://www.facebook.com/fathy.elbyar?mibextid=ZbWKwL" xr:uid="{00000000-0004-0000-0200-000045020000}"/>
    <hyperlink ref="E200" r:id="rId583" display="https://www.facebook.com/magarsalah/" xr:uid="{00000000-0004-0000-0200-000046020000}"/>
    <hyperlink ref="J200" r:id="rId584" display="https://www.instagram.com/cgi_salah/" xr:uid="{00000000-0004-0000-0200-000047020000}"/>
    <hyperlink ref="E201" r:id="rId585" display="https://www.facebook.com/profile.php?id=100009707051135&amp;ref=xav_ig_profile_web" xr:uid="{00000000-0004-0000-0200-000048020000}"/>
    <hyperlink ref="F201" r:id="rId586" display="https://discordapp.com/users/697974709253308417" xr:uid="{00000000-0004-0000-0200-000049020000}"/>
    <hyperlink ref="G201" r:id="rId587" display="https://l.facebook.com/l.php?u=https%3A%2F%2Ftwitter.com%2Felboor3y%3Ffbclid%3DIwZXh0bgNhZW0CMTAAAR2YwkfHKBFRs7N6kK9lReQcadx_Vm7Wf16b2KTcqB3StzYij4mL-boqFfY_aem_GBTSur1Ey8PudRv4g41Grg&amp;h=AT1Jc43i7xOnRymGl1YcOfazQ1u2l4mfDvK6bHFbfUJKDRocwMD9HzqUeloz9ifj0PL7RXbRkq9LVDC91F-Qa0YJrFHxZ0b4tKFn4ant2hbDdiE1DayYN_kOjkuu1NCmZoac" xr:uid="{00000000-0004-0000-0200-00004A020000}"/>
    <hyperlink ref="E202" r:id="rId588" display="https://www.facebook.com/profile.php?id=100067591009348" xr:uid="{00000000-0004-0000-0200-00004B020000}"/>
    <hyperlink ref="G202" r:id="rId589" display="https://x.com/MalakElbanna0" xr:uid="{00000000-0004-0000-0200-00004C020000}"/>
    <hyperlink ref="E203" r:id="rId590" display="https://www.facebook.com/profile.php?id=100090230381515&amp;mibextid=ZbWKwL" xr:uid="{00000000-0004-0000-0200-00004D020000}"/>
    <hyperlink ref="F203" r:id="rId591" display="https://www.facebook.com/profile.php?id=100090230381515&amp;mibextid=ZbWKwL" xr:uid="{00000000-0004-0000-0200-00004E020000}"/>
    <hyperlink ref="E204" r:id="rId592" display="https://www.facebook.com/profile.php?id=100027982335383" xr:uid="{00000000-0004-0000-0200-00004F020000}"/>
    <hyperlink ref="F204" r:id="rId593" display="https://support.discord.com/hc/en-us/profiles/27996346376983" xr:uid="{00000000-0004-0000-0200-000050020000}"/>
    <hyperlink ref="E205" r:id="rId594" display="https://www.facebook.com/profile.php?id=61566169385330" xr:uid="{00000000-0004-0000-0200-000051020000}"/>
    <hyperlink ref="F205" r:id="rId595" display="https://discord.gg/dC2dVHtr" xr:uid="{00000000-0004-0000-0200-000052020000}"/>
    <hyperlink ref="E206" r:id="rId596" display="https://www.facebook.com/profile.php?id=61563112269630&amp;mibextid=ZbWKwL" xr:uid="{00000000-0004-0000-0200-000053020000}"/>
    <hyperlink ref="F206" r:id="rId597" display="https://discord.gg/MWTXy97W" xr:uid="{00000000-0004-0000-0200-000054020000}"/>
    <hyperlink ref="H206" r:id="rId598" display="https://www.linkedin.com/in/mohamed-saleh-3422362a5?utm_source=share&amp;utm_campaign=share_via&amp;utm_content=profile&amp;utm_medium=android_app" xr:uid="{00000000-0004-0000-0200-000055020000}"/>
    <hyperlink ref="E207" r:id="rId599" display="https://www.facebook.com/profile.php?id=61566816092576&amp;mibextid=ZbWKwL" xr:uid="{00000000-0004-0000-0200-000056020000}"/>
    <hyperlink ref="E208" r:id="rId600" display="https://www.facebook.com/profile.php?id=100021746573252&amp;mibextid=ZbWKwL" xr:uid="{00000000-0004-0000-0200-000057020000}"/>
    <hyperlink ref="E209" r:id="rId601" display="https://www.facebook.com/profile.php?id=100049079319506&amp;mibextid=ZbWKwL" xr:uid="{00000000-0004-0000-0200-000058020000}"/>
    <hyperlink ref="H209" r:id="rId602" display="https://www.linkedin.com/in/mohamed-amer-803016253?utm_source=share&amp;utm_campaign=share_via&amp;utm_content=profile&amp;utm_medium=android_app" xr:uid="{00000000-0004-0000-0200-000059020000}"/>
    <hyperlink ref="E210" r:id="rId603" display="https://www.facebook.com/fares.husain.7?mibextid=ZbWKwL" xr:uid="{00000000-0004-0000-0200-00005A020000}"/>
    <hyperlink ref="E211" r:id="rId604" display="https://www.facebook.com/profile.php?id=100038008073901&amp;mibextid=ZbWKwL" xr:uid="{00000000-0004-0000-0200-00005B020000}"/>
    <hyperlink ref="E212" r:id="rId605" display="https://www.facebook.com/profile.php?id=100060129041760&amp;mibextid=LQQJ4d" xr:uid="{00000000-0004-0000-0200-00005C020000}"/>
    <hyperlink ref="H212" r:id="rId606" display="http://linkedin.com/in/mohamed-nagy-a9287231b" xr:uid="{00000000-0004-0000-0200-00005D020000}"/>
    <hyperlink ref="E213" r:id="rId607" display="https://www.facebook.com/profile.php?id=100067046691127&amp;mibextid=ZbWKwL" xr:uid="{00000000-0004-0000-0200-00005E020000}"/>
    <hyperlink ref="G213" r:id="rId608" display="https://x.com/MohamedELS79988?t=fM4F3Fd_dMq-kCWpvCmqbQ&amp;s=09" xr:uid="{00000000-0004-0000-0200-00005F020000}"/>
    <hyperlink ref="H213" r:id="rId609" display="https://www.linkedin.com/in/mohamed-el-sayed-705a8b325?utm_source=share&amp;utm_campaign=share_via&amp;utm_content=profile&amp;utm_medium=android_app" xr:uid="{00000000-0004-0000-0200-000060020000}"/>
    <hyperlink ref="E214" r:id="rId610" display="https://www.facebook.com/hema.hassan.14418101?mibextid=ZbWKwL" xr:uid="{00000000-0004-0000-0200-000061020000}"/>
    <hyperlink ref="E215" r:id="rId611" display="https://www.facebook.com/0fars.eldiip0?mibextid=ZbWKwL" xr:uid="{00000000-0004-0000-0200-000062020000}"/>
    <hyperlink ref="G215" r:id="rId612" display="https://x.com/FARES7HA6NG?t=tDBBMa3VssLq_vD1lPCMgw&amp;s=09" xr:uid="{00000000-0004-0000-0200-000063020000}"/>
    <hyperlink ref="H215" r:id="rId613" display="https://www.linkedin.com/in/fares-ekrame-150560300?utm_source=share&amp;utm_campaign=share_via&amp;utm_content=profile&amp;utm_medium=android_app" xr:uid="{00000000-0004-0000-0200-000064020000}"/>
    <hyperlink ref="E216" r:id="rId614" display="https://www.facebook.com/mohamed.awad.7731g?mibextid=ZbWKwL" xr:uid="{00000000-0004-0000-0200-000065020000}"/>
    <hyperlink ref="H216" r:id="rId615" display="https://www.linkedin.com/in/mohammed-mustafa-4088961b5" xr:uid="{00000000-0004-0000-0200-000066020000}"/>
    <hyperlink ref="I216" r:id="rId616" display="https://github.com/Mohammed209-Z" xr:uid="{00000000-0004-0000-0200-000067020000}"/>
    <hyperlink ref="E217" r:id="rId617" display="https://www.facebook.com/jana.elshayb.7" xr:uid="{00000000-0004-0000-0200-000068020000}"/>
    <hyperlink ref="G217" r:id="rId618" display="https://x.com/janaelshayb6" xr:uid="{00000000-0004-0000-0200-000069020000}"/>
    <hyperlink ref="H217" r:id="rId619" display="https://www.linkedin.com/in/jana-elshayb-3a9559287?utm_source=share&amp;utm_campaign=share_via&amp;utm_content=profile&amp;utm_medium=android_app" xr:uid="{00000000-0004-0000-0200-00006A020000}"/>
    <hyperlink ref="E218" r:id="rId620" display="https://www.facebook.com/NarutoXLoffy?mibextid=LQQJ4d" xr:uid="{00000000-0004-0000-0200-00006B020000}"/>
    <hyperlink ref="E219" r:id="rId621" display="https://www.facebook.com/mohamed.elshenawy.315428?mibextid=ZbWKwL" xr:uid="{00000000-0004-0000-0200-00006C020000}"/>
    <hyperlink ref="E220" r:id="rId622" display="https://www.facebook.com/hishaam.ahmedD" xr:uid="{00000000-0004-0000-0200-00006D020000}"/>
    <hyperlink ref="H220" r:id="rId623" display="http://www.linkedin.com/in/hishamelnemr" xr:uid="{00000000-0004-0000-0200-00006E020000}"/>
    <hyperlink ref="E221" r:id="rId624" display="https://www.facebook.com/profile.php?id=100006130201494&amp;mibextid=kFxxJD" xr:uid="{00000000-0004-0000-0200-00006F020000}"/>
    <hyperlink ref="F221" r:id="rId625" display="https://x.com/Dina_Ibrahim23?t=sxEO1ddlbadmeUskMoAWzw&amp;s=09" xr:uid="{00000000-0004-0000-0200-000070020000}"/>
    <hyperlink ref="G221" r:id="rId626" display="https://x.com/Dina_Ibrahim23?t=zisJewjJwJFdnxNplvriTQ&amp;s=09" xr:uid="{00000000-0004-0000-0200-000071020000}"/>
    <hyperlink ref="H221" r:id="rId627" display="https://www.linkedin.com/in/dina-goda-2000432a4?utm_source=share&amp;utm_campaign=share_via&amp;utm_content=profile&amp;utm_medium=android_app" xr:uid="{00000000-0004-0000-0200-000072020000}"/>
    <hyperlink ref="I221" r:id="rId628" display="https://x.com/Dina_Ibrahim23?t=sxEO1ddlbadmeUskMoAWzw&amp;s=09" xr:uid="{00000000-0004-0000-0200-000073020000}"/>
    <hyperlink ref="J221" r:id="rId629" display="https://x.com/Dina_Ibrahim23?t=zisJewjJwJFdnxNplvriTQ&amp;s=09" xr:uid="{00000000-0004-0000-0200-000074020000}"/>
    <hyperlink ref="E222" r:id="rId630" display="https://www.facebook.com/mohammed.ehab.583671?mibextid=ZbWKwL" xr:uid="{00000000-0004-0000-0200-000075020000}"/>
    <hyperlink ref="H222" r:id="rId631" display="http://www.linkedin.com/in/mohamed-ehab-ba4523320" xr:uid="{00000000-0004-0000-0200-000076020000}"/>
    <hyperlink ref="I222" r:id="rId632" display="https://github.com/mohamedehab150" xr:uid="{00000000-0004-0000-0200-000077020000}"/>
    <hyperlink ref="E223" r:id="rId633" display="https://www.facebook.com/zeyad.bedair.10?mibextid=JRoKGi" xr:uid="{00000000-0004-0000-0200-000078020000}"/>
    <hyperlink ref="H223" r:id="rId634" display="https://www.linkedin.com/in/zeyad-bedair-87ba69308?utm_source=share&amp;utm_campaign=share_via&amp;utm_content=profile&amp;utm_medium=android_app" xr:uid="{00000000-0004-0000-0200-000079020000}"/>
    <hyperlink ref="E224" r:id="rId635" display="https://www.facebook.com/share/1AjkeYr2oc/?mibextid=qi2Omg" xr:uid="{00000000-0004-0000-0200-00007A020000}"/>
    <hyperlink ref="G224" r:id="rId636" display="https://www.behance.net/mostafaramadan51" xr:uid="{00000000-0004-0000-0200-00007B020000}"/>
    <hyperlink ref="H224" r:id="rId637" display="http://linkedin.com/in/yomna-khaled-0429692a9" xr:uid="{00000000-0004-0000-0200-00007C020000}"/>
    <hyperlink ref="I224" r:id="rId638" display="https://github.com/yomna-khaled1" xr:uid="{00000000-0004-0000-0200-00007D020000}"/>
    <hyperlink ref="J224" r:id="rId639" display="https://www.behance.net/mostafaramadan51" xr:uid="{00000000-0004-0000-0200-00007E020000}"/>
    <hyperlink ref="E225" r:id="rId640" display="https://www.facebook.com/share/1ArFg771pu/" xr:uid="{00000000-0004-0000-0200-00007F020000}"/>
    <hyperlink ref="G225" r:id="rId641" display="https://x.com/ahmdadl09651783?t=pADyQj7nzpNeljahgCKxJQ&amp;s=09" xr:uid="{00000000-0004-0000-0200-000080020000}"/>
    <hyperlink ref="H225" r:id="rId642" display="https://eg.linkedin.com/in/%D8%A7%D8%AD%D9%85%D8%AF-%D8%B9%D8%A7%D8%AF%D9%84-10337833a" xr:uid="{00000000-0004-0000-0200-000081020000}"/>
    <hyperlink ref="E226" r:id="rId643" display="https://www.facebook.com/profile.php?id=100035278334460&amp;mibextid=ZbWKwL" xr:uid="{00000000-0004-0000-0200-000082020000}"/>
    <hyperlink ref="E227" r:id="rId644" display="https://www.facebook.com/profile.php?id=100086357412653&amp;mibextid=ZbWKwL" xr:uid="{00000000-0004-0000-0200-000083020000}"/>
    <hyperlink ref="E228" r:id="rId645" display="https://www.facebook.com/profile.php?id=61555994852457" xr:uid="{00000000-0004-0000-0200-000084020000}"/>
    <hyperlink ref="H228" r:id="rId646" display="https://www.linkedin.com/in/yara-saleh-910504307?utm_source=share&amp;utm_campaign=share_via&amp;utm_content=profile&amp;utm_medium=android_app" xr:uid="{00000000-0004-0000-0200-000085020000}"/>
    <hyperlink ref="E229" r:id="rId647" display="https://www.facebook.com/profile.php?id=100008268288524" xr:uid="{00000000-0004-0000-0200-000086020000}"/>
    <hyperlink ref="F229" r:id="rId648" display="https://discord.com/users/1047586923855741048" xr:uid="{00000000-0004-0000-0200-000087020000}"/>
    <hyperlink ref="G229" r:id="rId649" display="https://x.com/Mohamed98727447" xr:uid="{00000000-0004-0000-0200-000088020000}"/>
    <hyperlink ref="H229" r:id="rId650" display="https://www.linkedin.com/in/mohamed-ayman-984a8931b/" xr:uid="{00000000-0004-0000-0200-000089020000}"/>
    <hyperlink ref="I229" r:id="rId651" display="https://github.com/MohamdAymn" xr:uid="{00000000-0004-0000-0200-00008A020000}"/>
    <hyperlink ref="J229" r:id="rId652" display="https://www.behance.net/mohamedayman478" xr:uid="{00000000-0004-0000-0200-00008B020000}"/>
    <hyperlink ref="E230" r:id="rId653" display="https://www.facebook.com/omar.lokam.5?mibextid=ZbWKwL" xr:uid="{00000000-0004-0000-0200-00008C020000}"/>
    <hyperlink ref="F230" r:id="rId654" display="https://discordapp.com/users/1309904912972255265" xr:uid="{00000000-0004-0000-0200-00008D020000}"/>
    <hyperlink ref="G230" r:id="rId655" display="https://x.com/OMAR_LOKAM?t=gaXM2iOcRwCJOqo2Lf6n4w&amp;s=09" xr:uid="{00000000-0004-0000-0200-00008E020000}"/>
    <hyperlink ref="I230" r:id="rId656" display="https://github.com/OmarLokam" xr:uid="{00000000-0004-0000-0200-00008F020000}"/>
    <hyperlink ref="J230" r:id="rId657" display="http://www.none.com/" xr:uid="{00000000-0004-0000-0200-000090020000}"/>
    <hyperlink ref="E231" r:id="rId658" display="https://www.facebook.com/salma.moustfa.18/" xr:uid="{00000000-0004-0000-0200-000091020000}"/>
    <hyperlink ref="F231" r:id="rId659" display="https://discord.gg/Tf3FQQbq" xr:uid="{00000000-0004-0000-0200-000092020000}"/>
    <hyperlink ref="H231" r:id="rId660" display="https://www.linkedin.com/in/salma-mostafa-6a369427a?utm_source=share&amp;utm_campaign=share_via&amp;utm_content=profile&amp;utm_medium=android_app" xr:uid="{00000000-0004-0000-0200-000093020000}"/>
    <hyperlink ref="E232" r:id="rId661" display="https://www.facebook.com/profile.php?id=61564650612652&amp;mibextid=ZbWKwL" xr:uid="{00000000-0004-0000-0200-000094020000}"/>
    <hyperlink ref="E233" r:id="rId662" display="https://www.facebook.com/profile.php?id=100071969621080&amp;mibextid=ZbWKwL" xr:uid="{00000000-0004-0000-0200-000095020000}"/>
    <hyperlink ref="F233" r:id="rId663" display="https://www.facebook.com/profile.php?id=100071969621080&amp;mibextid=ZbWKwL" xr:uid="{00000000-0004-0000-0200-000096020000}"/>
    <hyperlink ref="E234" r:id="rId664" display="https://m.facebook.com/profile.php?id=100009622057626" xr:uid="{00000000-0004-0000-0200-000097020000}"/>
    <hyperlink ref="E235" r:id="rId665" display="https://www.facebook.com/omarroza31?mibextid=ZbWKwL" xr:uid="{00000000-0004-0000-0200-000098020000}"/>
    <hyperlink ref="G235" r:id="rId666" display="https://x.com/ORozzza?t=M0_Pv_wzCvw68VpleYuyDQ&amp;s=09" xr:uid="{00000000-0004-0000-0200-000099020000}"/>
    <hyperlink ref="H235" r:id="rId667" display="https://www.linkedin.com/in/omar-ahmed-ab472b230?utm_source=share&amp;utm_campaign=share_via&amp;utm_content=profile&amp;utm_medium=android_app" xr:uid="{00000000-0004-0000-0200-00009A020000}"/>
    <hyperlink ref="I235" r:id="rId668" display="https://github.com/OroZzZa" xr:uid="{00000000-0004-0000-0200-00009B020000}"/>
    <hyperlink ref="J235" r:id="rId669" display="https://www.behance.net/omarahmed730" xr:uid="{00000000-0004-0000-0200-00009C020000}"/>
    <hyperlink ref="E236" r:id="rId670" display="https://www.facebook.com/she.rif.52687?mibextid=ZbWKwL" xr:uid="{00000000-0004-0000-0200-00009D020000}"/>
    <hyperlink ref="H236" r:id="rId671" display="http://www.linkedin.com/in/sherif10" xr:uid="{00000000-0004-0000-0200-00009E020000}"/>
    <hyperlink ref="I236" r:id="rId672" display="https://github.com/settings/profile" xr:uid="{00000000-0004-0000-0200-00009F020000}"/>
    <hyperlink ref="E237" r:id="rId673" display="https://www.facebook.com/profile.php?id=100052150834244w" xr:uid="{00000000-0004-0000-0200-0000A0020000}"/>
    <hyperlink ref="E238" r:id="rId674" display="https://www.facebook.com/osama.feteh" xr:uid="{00000000-0004-0000-0200-0000A1020000}"/>
    <hyperlink ref="H238" r:id="rId675" display="https://www.linkedin.com/in/osama-mohammed-737582330/overlay/about-this-profile/?lipi=urn%3Ali%3Apage%3Ad_flagship3_profile_view_base%3Bn5%2F3DdM9TV%2BBSDxjvswAVw%3D%3D" xr:uid="{00000000-0004-0000-0200-0000A2020000}"/>
    <hyperlink ref="E239" r:id="rId676" display="https://www.facebook.com/share/18KzNA2igr/?mibextid=qi2Omg" xr:uid="{00000000-0004-0000-0200-0000A3020000}"/>
    <hyperlink ref="E240" r:id="rId677" display="https://www.facebook.com/share/15tKte9Lmt/" xr:uid="{00000000-0004-0000-0200-0000A4020000}"/>
    <hyperlink ref="E241" r:id="rId678" display="https://www.facebook.com/profile.php?id=100011489112484&amp;mibextid=ZbWKwL" xr:uid="{00000000-0004-0000-0200-0000A5020000}"/>
    <hyperlink ref="F241" r:id="rId679" display="https://discord.gg/gdPZyKTH" xr:uid="{00000000-0004-0000-0200-0000A6020000}"/>
    <hyperlink ref="E242" r:id="rId680" display="https://www.facebook.com/MohammedAlaaMokhtar74?mibextid=ZbWKwL" xr:uid="{00000000-0004-0000-0200-0000A7020000}"/>
    <hyperlink ref="E243" r:id="rId681" display="https://www.facebook.com/profile.php?id=100028404248383&amp;mibextid=ZbWKwL" xr:uid="{00000000-0004-0000-0200-0000A8020000}"/>
    <hyperlink ref="H243" r:id="rId682" display="https://www.linkedin.com/in/mo7amed-el-kenany-b892b0288?utm_source=share&amp;utm_campaign=share_via&amp;utm_content=profile&amp;utm_medium=android_app" xr:uid="{00000000-0004-0000-0200-0000A9020000}"/>
    <hyperlink ref="E244" r:id="rId683" display="https://www.facebook.com/mohamed.dief.3532?mibextid=ZbWKwL" xr:uid="{00000000-0004-0000-0200-0000AA020000}"/>
    <hyperlink ref="E245" r:id="rId684" display="https://www.facebook.com/profile.php?id=100077421825110&amp;mibextid=ZbWKwL" xr:uid="{00000000-0004-0000-0200-0000AB020000}"/>
    <hyperlink ref="F245" r:id="rId685" display="https://discord.gg/3mdTWQm8" xr:uid="{00000000-0004-0000-0200-0000AC020000}"/>
    <hyperlink ref="E246" r:id="rId686" display="https://www.facebook.com/profile.php?id=61550007293460" xr:uid="{00000000-0004-0000-0200-0000AD020000}"/>
    <hyperlink ref="H246" r:id="rId687" display="https://www.linkedin.com/in/shahd-saad-3a66b6284/" xr:uid="{00000000-0004-0000-0200-0000AE020000}"/>
    <hyperlink ref="E248" r:id="rId688" display="https://www.facebook.com/profile.php?id=61558491870799&amp;mibextid=ZbWKwL" xr:uid="{00000000-0004-0000-0200-0000AF020000}"/>
    <hyperlink ref="F248" r:id="rId689" display="https://www.facebook.com/profile.php?id=61558491870799&amp;mibextid=ZbWKwL" xr:uid="{00000000-0004-0000-0200-0000B0020000}"/>
    <hyperlink ref="G248" r:id="rId690" display="https://www.facebook.com/profile.php?id=61558491870799&amp;mibextid=ZbWKwL" xr:uid="{00000000-0004-0000-0200-0000B1020000}"/>
    <hyperlink ref="H248" r:id="rId691" display="https://www.linkedin.com/in/eng-menna-26535529b?utm_source=share&amp;utm_campaign=share_via&amp;utm_content=profile&amp;utm_medium=android_app" xr:uid="{00000000-0004-0000-0200-0000B2020000}"/>
    <hyperlink ref="J248" r:id="rId692" display="https://www.behance.net/mennaelsayed23" xr:uid="{00000000-0004-0000-0200-0000B3020000}"/>
    <hyperlink ref="E249" r:id="rId693" display="https://www.facebook.com/share/18nhhB6LXS/" xr:uid="{00000000-0004-0000-0200-0000B4020000}"/>
    <hyperlink ref="E250" r:id="rId694" display="https://www.facebook.com/profile.php?id=61568962090031&amp;mibextid=ZbWKwLz" xr:uid="{00000000-0004-0000-0200-0000B5020000}"/>
    <hyperlink ref="E251" r:id="rId695" display="https://www.facebook.com/lamiaa.dibah" xr:uid="{00000000-0004-0000-0200-0000B6020000}"/>
    <hyperlink ref="E252" r:id="rId696" display="https://www.facebook.com/osama.nabil.92317" xr:uid="{00000000-0004-0000-0200-0000B7020000}"/>
    <hyperlink ref="E253" r:id="rId697" display="https://www.facebook.com/kareem.elshishtawy.9?mibextid=ZbWKwL" xr:uid="{00000000-0004-0000-0200-0000B8020000}"/>
    <hyperlink ref="E254" r:id="rId698" display="https://www.facebook.com/profile.php?id=100028784166623&amp;mibextid=ZbWKwL" xr:uid="{00000000-0004-0000-0200-0000B9020000}"/>
    <hyperlink ref="E255" r:id="rId699" display="https://www.facebook.com/profile.php?id=100006662254259" xr:uid="{00000000-0004-0000-0200-0000BA020000}"/>
    <hyperlink ref="G255" r:id="rId700" display="https://x.com/AhmedSalem25545" xr:uid="{00000000-0004-0000-0200-0000BB020000}"/>
    <hyperlink ref="H255" r:id="rId701" display="http://linkedin.com/in/ahmed-salem-6ab8a12a3" xr:uid="{00000000-0004-0000-0200-0000BC020000}"/>
    <hyperlink ref="I255" r:id="rId702" display="https://github.com/ahmedsaloma" xr:uid="{00000000-0004-0000-0200-0000BD020000}"/>
    <hyperlink ref="E256" r:id="rId703" display="https://www.facebook.com/ramy.mod.md?mibextid=ZbWKwL" xr:uid="{00000000-0004-0000-0200-0000BE020000}"/>
    <hyperlink ref="G256" r:id="rId704" display="https://twitter.com/RModalal" xr:uid="{00000000-0004-0000-0200-0000BF020000}"/>
    <hyperlink ref="H256" r:id="rId705" display="https://www.linkedin.com/in/ramy-modalal-1705ba258?utm_source=share&amp;utm_campaign=share_via&amp;utm_content=profile&amp;utm_medium=android_app" xr:uid="{00000000-0004-0000-0200-0000C0020000}"/>
    <hyperlink ref="I256" r:id="rId706" display="https://github.com/ramymod" xr:uid="{00000000-0004-0000-0200-0000C1020000}"/>
    <hyperlink ref="J256" r:id="rId707" display="https://twitter.com/RModalal" xr:uid="{00000000-0004-0000-0200-0000C2020000}"/>
    <hyperlink ref="E257" r:id="rId708" display="https://www.facebook.com/nouran.mohamed.90" xr:uid="{00000000-0004-0000-0200-0000C3020000}"/>
    <hyperlink ref="G257" r:id="rId709" display="https://x.com/NouranM66012543" xr:uid="{00000000-0004-0000-0200-0000C4020000}"/>
    <hyperlink ref="H257" r:id="rId710" display="http://www.linkedin.com/in/noran-samy-8bab28259" xr:uid="{00000000-0004-0000-0200-0000C5020000}"/>
    <hyperlink ref="I257" r:id="rId711" display="https://github.com/Noran-cloud" xr:uid="{00000000-0004-0000-0200-0000C6020000}"/>
    <hyperlink ref="E258" r:id="rId712" display="https://www.facebook.com/minnah.mostafa?mibextid=LQQJ4d&amp;mibextid=LQQJ4d" xr:uid="{00000000-0004-0000-0200-0000C7020000}"/>
    <hyperlink ref="G258" r:id="rId713" display="https://x.com/7rtvi?s=21" xr:uid="{00000000-0004-0000-0200-0000C8020000}"/>
    <hyperlink ref="H258" r:id="rId714" display="https://www.linkedin.com/in/minnah-mostafa-991182320?utm_source=share&amp;utm_campaign=share_via&amp;utm_content=profile&amp;utm_medium=ios_app" xr:uid="{00000000-0004-0000-0200-0000C9020000}"/>
    <hyperlink ref="I258" r:id="rId715" display="https://github.com/Minnah77" xr:uid="{00000000-0004-0000-0200-0000CA020000}"/>
    <hyperlink ref="J258" r:id="rId716" display="https://www.behance.net/boody5104fcd9" xr:uid="{00000000-0004-0000-0200-0000CB020000}"/>
    <hyperlink ref="E259" r:id="rId717" display="https://www.facebook.com/share/14ejAREq2C/?mibextid=LQQJ4d" xr:uid="{00000000-0004-0000-0200-0000CC020000}"/>
    <hyperlink ref="E260" r:id="rId718" display="https://www.facebook.com/hanaanabil.22?mibextid=ZbWKwL" xr:uid="{00000000-0004-0000-0200-0000CD020000}"/>
    <hyperlink ref="G260" r:id="rId719" display="https://www.facebook.com/hanaanabil.22?mibextid=ZbWKwL" xr:uid="{00000000-0004-0000-0200-0000CE020000}"/>
    <hyperlink ref="H260" r:id="rId720" display="https://www.linkedin.com/in/hanaa-nabil-a52549252?utm_source=share&amp;utm_campaign=share_via&amp;utm_content=profile&amp;utm_medium=android_app" xr:uid="{00000000-0004-0000-0200-0000CF020000}"/>
    <hyperlink ref="E262" r:id="rId721" display="https://www.facebook.com/hassan.elsharkha?mibextid=ZbWKwL" xr:uid="{00000000-0004-0000-0200-0000D0020000}"/>
    <hyperlink ref="E263" r:id="rId722" display="https://www.facebook.com/share/1BkDHLXXnv/" xr:uid="{00000000-0004-0000-0200-0000D1020000}"/>
    <hyperlink ref="G263" r:id="rId723" display="https://x.com/gannah10526" xr:uid="{00000000-0004-0000-0200-0000D2020000}"/>
    <hyperlink ref="H263" r:id="rId724" display="https://www.linkedin.com/in/gannah-elagamy-40433633a?utm_source=share&amp;utm_campaign=share_via&amp;utm_content=profile&amp;utm_medium=android_app" xr:uid="{00000000-0004-0000-0200-0000D3020000}"/>
    <hyperlink ref="G264" r:id="rId725" display="https://x.com/rawan_esmail19" xr:uid="{00000000-0004-0000-0200-0000D4020000}"/>
    <hyperlink ref="H264" r:id="rId726" display="https://www.linkedin.com/in/rawan-esmail-38601433a/" xr:uid="{00000000-0004-0000-0200-0000D5020000}"/>
    <hyperlink ref="I264" r:id="rId727" display="http://github.com/RawanEsmail19" xr:uid="{00000000-0004-0000-0200-0000D6020000}"/>
    <hyperlink ref="J264" r:id="rId728" display="http://github.com/RawanEsmail19" xr:uid="{00000000-0004-0000-0200-0000D7020000}"/>
    <hyperlink ref="E265" r:id="rId729" display="https://www.facebook.com/share/19SdrSRHsL/" xr:uid="{00000000-0004-0000-0200-0000D8020000}"/>
    <hyperlink ref="F265" r:id="rId730" display="https://www.facebook.com/share/19SdrSRHsL/" xr:uid="{00000000-0004-0000-0200-0000D9020000}"/>
    <hyperlink ref="G265" r:id="rId731" display="https://www.facebook.com/share/19SdrSRHsL/" xr:uid="{00000000-0004-0000-0200-0000DA020000}"/>
    <hyperlink ref="H265" r:id="rId732" display="https://www.facebook.com/share/19SdrSRHsL/" xr:uid="{00000000-0004-0000-0200-0000DB020000}"/>
    <hyperlink ref="I265" r:id="rId733" display="https://www.facebook.com/share/19SdrSRHsL/" xr:uid="{00000000-0004-0000-0200-0000DC020000}"/>
    <hyperlink ref="J265" r:id="rId734" display="https://www.facebook.com/share/19SdrSRHsL/" xr:uid="{00000000-0004-0000-0200-0000DD020000}"/>
    <hyperlink ref="E266" r:id="rId735" display="https://www.facebook.com/share/1CSqfAL4q4/" xr:uid="{00000000-0004-0000-0200-0000DE020000}"/>
    <hyperlink ref="H266" r:id="rId736" display="https://www.linkedin.com/in/martina-ibrahim-1605bb305?utm_source=share&amp;utm_campaign=share_via&amp;utm_content=profile&amp;utm_medium=android_app" xr:uid="{00000000-0004-0000-0200-0000DF020000}"/>
    <hyperlink ref="I266" r:id="rId737" display="https://github.com/Martina-511" xr:uid="{00000000-0004-0000-0200-0000E0020000}"/>
    <hyperlink ref="E267" r:id="rId738" display="https://www.facebook.com/profile.php?id=100012576063259&amp;mibextid=ZbWKwL" xr:uid="{00000000-0004-0000-0200-0000E1020000}"/>
    <hyperlink ref="G267" r:id="rId739" display="https://x.com/eslamkhaled25?t=Qhe0UZ5vzQeuELjGZoCM7A&amp;s=09" xr:uid="{00000000-0004-0000-0200-0000E2020000}"/>
    <hyperlink ref="E268" r:id="rId740" display="https://www.facebook.com/share/N6YrmZRGVm5HMcEk/?mibextid=LQQJ4d" xr:uid="{00000000-0004-0000-0200-0000E3020000}"/>
    <hyperlink ref="H268" r:id="rId741" display="https://www.linkedin.com/in/nora-elsharkawy-3366b7328?utm_source=share&amp;utm_campaign=share_via&amp;utm_content=profile&amp;utm_medium=ios_app" xr:uid="{00000000-0004-0000-0200-0000E4020000}"/>
    <hyperlink ref="E269" r:id="rId742" display="https://www.facebook.com/profile.php?id=100081159115284" xr:uid="{00000000-0004-0000-0200-0000E5020000}"/>
    <hyperlink ref="H269" r:id="rId743" display="http://www.linkedin.com/in/shahd-alaa-029ba62a4" xr:uid="{00000000-0004-0000-0200-0000E6020000}"/>
    <hyperlink ref="I269" r:id="rId744" display="https://github.com/Shahd-404" xr:uid="{00000000-0004-0000-0200-0000E7020000}"/>
    <hyperlink ref="E270" r:id="rId745" display="https://www.facebook.com/khaled.ahmedmossad.9" xr:uid="{00000000-0004-0000-0200-0000E8020000}"/>
    <hyperlink ref="F270" r:id="rId746" display="https://discord.gg/ZD9sVYvz" xr:uid="{00000000-0004-0000-0200-0000E9020000}"/>
    <hyperlink ref="H270" r:id="rId747" display="https://www.linkedin.com/in/khaled-ahmed-mossad-42377533a" xr:uid="{00000000-0004-0000-0200-0000EA020000}"/>
    <hyperlink ref="I270" r:id="rId748" display="https://github.com/khaledahmedmossad" xr:uid="{00000000-0004-0000-0200-0000EB020000}"/>
    <hyperlink ref="J270" r:id="rId749" display="https://www.behance.net/hire/projects" xr:uid="{00000000-0004-0000-0200-0000EC020000}"/>
    <hyperlink ref="E271" r:id="rId750" display="https://www.facebook.com/share/17x2S7jE3y/?mibextid=LQQJ4d" xr:uid="{00000000-0004-0000-0200-0000ED020000}"/>
    <hyperlink ref="H271" r:id="rId751" display="http://linkedin.com/in/sabri-waleed-b8659b2ba" xr:uid="{00000000-0004-0000-0200-0000EE020000}"/>
    <hyperlink ref="E272" r:id="rId752" display="https://www.facebook.com/profile.php?id=100009627530633&amp;mibextid=JRoKGi" xr:uid="{00000000-0004-0000-0200-0000EF020000}"/>
    <hyperlink ref="H272" r:id="rId753" display="https://www.linkedin.com/in/reemabdelraouf?lipi=urn%3Ali%3Apage%3Ad_flagship3_profile_view_base_contact_details%3BIPC2l%2FwkQXa60KXpQpa2Ug%3D%3D" xr:uid="{00000000-0004-0000-0200-0000F0020000}"/>
    <hyperlink ref="E273" r:id="rId754" display="https://www.facebook.com/mohamed.o.elkholy.35?mibextid=ZbWKwL" xr:uid="{00000000-0004-0000-0200-0000F1020000}"/>
    <hyperlink ref="E274" r:id="rId755" display="https://www.facebook.com/profile.php?id=100024575921181" xr:uid="{00000000-0004-0000-0200-0000F2020000}"/>
    <hyperlink ref="G274" r:id="rId756" display="https://x.com/YElbrmbaly10204" xr:uid="{00000000-0004-0000-0200-0000F3020000}"/>
    <hyperlink ref="H274" r:id="rId757" display="https://www.linkedin.com/in/yossif-elbrmbaly/" xr:uid="{00000000-0004-0000-0200-0000F4020000}"/>
    <hyperlink ref="I274" r:id="rId758" display="https://github.com/Yossef-Elbrmbaly" xr:uid="{00000000-0004-0000-0200-0000F5020000}"/>
    <hyperlink ref="J274" r:id="rId759" display="https://www.behance.net/yossifelbrmbaly" xr:uid="{00000000-0004-0000-0200-0000F6020000}"/>
    <hyperlink ref="E275" r:id="rId760" display="https://www.facebook.com/share/15ddZNDgEL/?mibextid=LQQJ4d" xr:uid="{00000000-0004-0000-0200-0000F7020000}"/>
    <hyperlink ref="E276" r:id="rId761" display="https://www.facebook.com/share/ahUhCYXr2KaBcvZ2/?mibextid=LQQJ4d" xr:uid="{00000000-0004-0000-0200-0000F8020000}"/>
    <hyperlink ref="H276" r:id="rId762" display="http://www.linkedin.com/in/hagar-ahmad-31816628a" xr:uid="{00000000-0004-0000-0200-0000F9020000}"/>
    <hyperlink ref="I276" r:id="rId763" display="https://github.com/3nter-hgr" xr:uid="{00000000-0004-0000-0200-0000FA020000}"/>
    <hyperlink ref="E277" r:id="rId764" display="https://www.facebook.com/profile.php?id=61563041369275&amp;mibextid=ZbWKwL" xr:uid="{00000000-0004-0000-0200-0000FB020000}"/>
    <hyperlink ref="F277" r:id="rId765" display="https://discord.gg/JyX3wYvs" xr:uid="{00000000-0004-0000-0200-0000FC020000}"/>
    <hyperlink ref="G277" r:id="rId766" display="https://x.com/mariamsabe57?t=Dcs_zyTiXXZWy4gnSzX22A&amp;s=09" xr:uid="{00000000-0004-0000-0200-0000FD020000}"/>
    <hyperlink ref="E278" r:id="rId767" display="https://www.facebook.com/profile.php?id=100080219746127&amp;mibextid=ZbWKwL" xr:uid="{00000000-0004-0000-0200-0000FE020000}"/>
    <hyperlink ref="H278" r:id="rId768" display="https://www.linkedin.com/in/yousef-elsaharty-08489b2b0?utm_source=share&amp;utm_campaign=share_via&amp;utm_content=profile&amp;utm_medium=android_app" xr:uid="{00000000-0004-0000-0200-0000FF020000}"/>
    <hyperlink ref="I278" r:id="rId769" display="https://github.com/YusifElsaharty" xr:uid="{00000000-0004-0000-0200-000000030000}"/>
    <hyperlink ref="E279" r:id="rId770" display="https://m.facebook.com/profile.php?id=100013105998071" xr:uid="{00000000-0004-0000-0200-000001030000}"/>
    <hyperlink ref="H279" r:id="rId771" display="https://www.linkedin.com/in/ahmed-zahran-973825224?utm_source=share&amp;utm_campaign=share_via&amp;utm_content=profile&amp;utm_medium=android_app" xr:uid="{00000000-0004-0000-0200-000002030000}"/>
    <hyperlink ref="E280" r:id="rId772" display="https://www.facebook.com/zuba.4.2?mibextid=ZbWKwL" xr:uid="{00000000-0004-0000-0200-000003030000}"/>
    <hyperlink ref="F280" r:id="rId773" display="https://discord.gg/RyjNq2T6" xr:uid="{00000000-0004-0000-0200-000004030000}"/>
    <hyperlink ref="H280" r:id="rId774" display="https://www.linkedin.com/in/zeinabebrahim?utm_source=share&amp;utm_campaign=share_via&amp;utm_content=profile&amp;utm_medium=android_app" xr:uid="{00000000-0004-0000-0200-000005030000}"/>
    <hyperlink ref="E281" r:id="rId775" display="https://www.facebook.com/profile.php?id=100015385117279" xr:uid="{00000000-0004-0000-0200-000006030000}"/>
    <hyperlink ref="E282" r:id="rId776" display="https://www.facebook.com/profile.php?id=100091425038819&amp;mibextid=ZbWKwL" xr:uid="{00000000-0004-0000-0200-000007030000}"/>
    <hyperlink ref="F282" r:id="rId777" display="https://discord.gg/Xhk23mEB" xr:uid="{00000000-0004-0000-0200-000008030000}"/>
    <hyperlink ref="G282" r:id="rId778" display="https://x.com/MennaElmoh88127?t=yn5mmJnQSZH3i3PUDM_l1Q&amp;s=08" xr:uid="{00000000-0004-0000-0200-000009030000}"/>
    <hyperlink ref="H282" r:id="rId779" display="https://www.linkedin.com/in/menna-elmohamady-6185b833a?utm_source=share&amp;utm_campaign=share_via&amp;utm_content=profile&amp;utm_medium=android_app" xr:uid="{00000000-0004-0000-0200-00000A030000}"/>
    <hyperlink ref="I282" r:id="rId780" display="https://github.com/Mennaelmohamdy3" xr:uid="{00000000-0004-0000-0200-00000B030000}"/>
    <hyperlink ref="J282" r:id="rId781" display="https://www.behance.net/zeinabmostafa9" xr:uid="{00000000-0004-0000-0200-00000C030000}"/>
    <hyperlink ref="E283" r:id="rId782" display="https://www.facebook.com/profile.php?id=61551217244817&amp;mibextid=ZbWKwL" xr:uid="{00000000-0004-0000-0200-00000D030000}"/>
    <hyperlink ref="F283" r:id="rId783" display="https://www.behance.net/d2cc3a53" xr:uid="{00000000-0004-0000-0200-00000E030000}"/>
    <hyperlink ref="J283" r:id="rId784" display="https://www.behance.net/d2cc3a53" xr:uid="{00000000-0004-0000-0200-00000F030000}"/>
    <hyperlink ref="E284" r:id="rId785" display="https://www.facebook.com/profile.php?id=61568234062318&amp;mibextid=ZbWKwL" xr:uid="{00000000-0004-0000-0200-000010030000}"/>
    <hyperlink ref="G284" r:id="rId786" display="https://x.com/shada_basyonii" xr:uid="{00000000-0004-0000-0200-000011030000}"/>
    <hyperlink ref="H284" r:id="rId787" display="https://www.linkedin.com/in/shada-basyoni-27680a315?trk=contact-info" xr:uid="{00000000-0004-0000-0200-000012030000}"/>
    <hyperlink ref="E285" r:id="rId788" display="https://www.facebook.com/share/GZEv18qukgSnJT2x/?mibextid=LQQJ4d" xr:uid="{00000000-0004-0000-0200-000013030000}"/>
    <hyperlink ref="E286" r:id="rId789" display="https://www.facebook.com/profile.php?id=61556127450141" xr:uid="{00000000-0004-0000-0200-000014030000}"/>
    <hyperlink ref="E287" r:id="rId790" display="https://www.facebook.com/rawan.tarek.14661?mibextid=ZbWKwL" xr:uid="{00000000-0004-0000-0200-000015030000}"/>
    <hyperlink ref="E288" r:id="rId791" display="https://www.facebook.com/sara.atef.75685962" xr:uid="{00000000-0004-0000-0200-000016030000}"/>
    <hyperlink ref="H288" r:id="rId792" display="https://www.linkedin.com/in/sara-atef-076131252?utm_source=share&amp;utm_campaign=share_via&amp;utm_content=profile&amp;utm_medium=android_app" xr:uid="{00000000-0004-0000-0200-000017030000}"/>
    <hyperlink ref="E289" r:id="rId793" display="https://www.facebook.com/share/1Efc3QQNyE/" xr:uid="{00000000-0004-0000-0200-000018030000}"/>
    <hyperlink ref="F289" r:id="rId794" display="https://discord.gg/xHwcgEV7" xr:uid="{00000000-0004-0000-0200-000019030000}"/>
    <hyperlink ref="G289" r:id="rId795" display="https://x.com/nada_momtaz_2?t=jGKcsMH2J75913Skag3R8g&amp;s=09" xr:uid="{00000000-0004-0000-0200-00001A030000}"/>
    <hyperlink ref="H289" r:id="rId796" display="https://www.linkedin.com/in/nada-momtaz-25465b254?utm_source=share&amp;utm_campaign=share_via&amp;utm_content=profile&amp;utm_medium=android_app" xr:uid="{00000000-0004-0000-0200-00001B030000}"/>
    <hyperlink ref="I289" r:id="rId797" display="https://github.com/nadamomtaz" xr:uid="{00000000-0004-0000-0200-00001C030000}"/>
    <hyperlink ref="J289" r:id="rId798" display="https://www.behance.net/nadamomtaz2022" xr:uid="{00000000-0004-0000-0200-00001D030000}"/>
    <hyperlink ref="E290" r:id="rId799" display="https://www.facebook.com/profile.php?id=100094929424709&amp;mibextid=ZbWKwL" xr:uid="{00000000-0004-0000-0200-00001E030000}"/>
    <hyperlink ref="E291" r:id="rId800" display="https://www.facebook.com/mohammad.mosad.9212?mibextid=ZbWKwL" xr:uid="{00000000-0004-0000-0200-00001F030000}"/>
    <hyperlink ref="E292" r:id="rId801" display="https://www.facebook.com/profile.php?id=100095152026512" xr:uid="{00000000-0004-0000-0200-000020030000}"/>
    <hyperlink ref="H292" r:id="rId802" display="http://www.linkedin.com/in/mohamed-asharf-53066625b" xr:uid="{00000000-0004-0000-0200-000021030000}"/>
    <hyperlink ref="I292" r:id="rId803" display="https://github.com/engineer-mohamed" xr:uid="{00000000-0004-0000-0200-000022030000}"/>
    <hyperlink ref="G293" r:id="rId804" display="https://x.com/MohamedElz_122?t=bet33I35biCsaWkC0IvkGg&amp;s=09" xr:uid="{00000000-0004-0000-0200-000023030000}"/>
    <hyperlink ref="H293" r:id="rId805" display="https://www.linkedin.com/in/mohamed-elzoghby-a5227333a?utm_source=share&amp;utm_campaign=share_via&amp;utm_content=profile&amp;utm_medium=android_app" xr:uid="{00000000-0004-0000-0200-000024030000}"/>
    <hyperlink ref="I293" r:id="rId806" display="https://github.com/MoElzoghby" xr:uid="{00000000-0004-0000-0200-000025030000}"/>
    <hyperlink ref="J293" r:id="rId807" display="https://www.behance.net/mohamedelzoghby5" xr:uid="{00000000-0004-0000-0200-000026030000}"/>
    <hyperlink ref="E294" r:id="rId808" display="https://www.facebook.com/share/17md7Xi9e3/?mibextid=LQQJ4d" xr:uid="{00000000-0004-0000-0200-000027030000}"/>
    <hyperlink ref="E295" r:id="rId809" display="https://www.facebook.com/share/1EopR255UK/" xr:uid="{00000000-0004-0000-0200-000028030000}"/>
    <hyperlink ref="F295" r:id="rId810" display="https://discord.com/channels/_sha7d_" xr:uid="{00000000-0004-0000-0200-000029030000}"/>
    <hyperlink ref="H295" r:id="rId811" display="http://www.linkedin.com/in/shahd-ibrahim-92823629b" xr:uid="{00000000-0004-0000-0200-00002A030000}"/>
    <hyperlink ref="I295" r:id="rId812" display="https://github.com/users/SHahd-Ibrahim-Rezq" xr:uid="{00000000-0004-0000-0200-00002B030000}"/>
    <hyperlink ref="E296" r:id="rId813" display="https://www.facebook.com/profile.php?id=100008847009735&amp;mibextid=ZbWKwL" xr:uid="{00000000-0004-0000-0200-00002C030000}"/>
    <hyperlink ref="H296" r:id="rId814" display="https://www.linkedin.com/in/abdelfatah-ibrahim-ab7081262/" xr:uid="{00000000-0004-0000-0200-00002D030000}"/>
    <hyperlink ref="E297" r:id="rId815" display="https://www.facebook.com/share/k7YAN4Jn7Lxdeheu/?mibextid=LQQJ4d" xr:uid="{00000000-0004-0000-0200-00002E030000}"/>
    <hyperlink ref="H297" r:id="rId816" display="https://www.linkedin.com/in/rana-arida-711705268?utm_source=share&amp;utm_campaign=share_via&amp;utm_content=profile&amp;utm_medium=ios_app" xr:uid="{00000000-0004-0000-0200-00002F030000}"/>
    <hyperlink ref="J297" r:id="rId817" display="https://www.behance.net/ranaarida" xr:uid="{00000000-0004-0000-0200-000030030000}"/>
    <hyperlink ref="E298" r:id="rId818" display="https://www.facebook.com/profile.php?id=100010938374761&amp;mibextid=JRoKGi" xr:uid="{00000000-0004-0000-0200-000031030000}"/>
    <hyperlink ref="H298" r:id="rId819" display="https://www.linkedin.com/in/mohamed-medo-7a76a4316?utm_source=share&amp;utm_campaign=share_via&amp;utm_content=profile&amp;utm_medium=android_app" xr:uid="{00000000-0004-0000-0200-000032030000}"/>
    <hyperlink ref="I298" r:id="rId820" display="https://github.com/Mohamed-Zaabal" xr:uid="{00000000-0004-0000-0200-000033030000}"/>
    <hyperlink ref="E299" r:id="rId821" display="https://www.facebook.com/profile.php?id=100046697760640" xr:uid="{00000000-0004-0000-0200-000034030000}"/>
    <hyperlink ref="G299" r:id="rId822" display="https://www.facebook.com/profile.php?id=100046697760640" xr:uid="{00000000-0004-0000-0200-000035030000}"/>
    <hyperlink ref="H299" r:id="rId823" display="https://www.linkedin.com/in/salma-tarek-solarwinds200" xr:uid="{00000000-0004-0000-0200-000036030000}"/>
    <hyperlink ref="I299" r:id="rId824" display="https://www.facebook.com/profile.php?id=100046697760640" xr:uid="{00000000-0004-0000-0200-000037030000}"/>
    <hyperlink ref="J299" r:id="rId825" display="https://www.facebook.com/profile.php?id=100046697760640" xr:uid="{00000000-0004-0000-0200-000038030000}"/>
    <hyperlink ref="E300" r:id="rId826" display="https://www.instagram.com/shimaa.osama1_5/profilecard/?igsh=cDl6NjlzaTZ4YWJ5" xr:uid="{00000000-0004-0000-0200-000039030000}"/>
    <hyperlink ref="F300" r:id="rId827" display="https://discord.gg/qxHyXWWW" xr:uid="{00000000-0004-0000-0200-00003A030000}"/>
    <hyperlink ref="G300" r:id="rId828" display="https://x.com/AsamhMhmd70281?t=IV7lsVdYxmZaCTvkOF3fKg&amp;s=09" xr:uid="{00000000-0004-0000-0200-00003B030000}"/>
    <hyperlink ref="H300" r:id="rId829" display="https://linkedin.com/comm/mynetwork/discovery" xr:uid="{00000000-0004-0000-0200-00003C030000}"/>
    <hyperlink ref="E301" r:id="rId830" display="https://www.facebook.com/profile.php?id=61559612487374" xr:uid="{00000000-0004-0000-0200-00003D030000}"/>
    <hyperlink ref="H301" r:id="rId831" display="https://www.linkedin.com/in/mostafa-yasser-03a691327?utm_source=share&amp;utm_campaign=share_via&amp;utm_content=profile&amp;utm_medium=android_app" xr:uid="{00000000-0004-0000-0200-00003E030000}"/>
    <hyperlink ref="E302" r:id="rId832" display="https://www.facebook.com/profile.php?id=100081280830457" xr:uid="{00000000-0004-0000-0200-00003F030000}"/>
    <hyperlink ref="G302" r:id="rId833" display="https://x.com/Eslam_elzamkan" xr:uid="{00000000-0004-0000-0200-000040030000}"/>
    <hyperlink ref="H302" r:id="rId834" display="https://www.linkedin.com/in/eslam-elzamkan-771071239/" xr:uid="{00000000-0004-0000-0200-000041030000}"/>
    <hyperlink ref="I302" r:id="rId835" display="https://github.com/Eslamelzamkan" xr:uid="{00000000-0004-0000-0200-00004203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2025-01-26T12:49:30Z</dcterms:modified>
</cp:coreProperties>
</file>